
<file path=[Content_Types].xml><?xml version="1.0" encoding="utf-8"?>
<Types xmlns="http://schemas.openxmlformats.org/package/2006/content-types">
  <Override PartName="/xl/activeX/activeX4.bin" ContentType="application/vnd.ms-office.activeX"/>
  <Override PartName="/xl/activeX/activeX9.xml" ContentType="application/vnd.ms-office.activeX+xml"/>
  <Override PartName="/xl/activeX/activeX25.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activeX/activeX14.bin" ContentType="application/vnd.ms-office.activeX"/>
  <Override PartName="/xl/activeX/activeX19.xml" ContentType="application/vnd.ms-office.activeX+xml"/>
  <Override PartName="/xl/activeX/activeX32.bin" ContentType="application/vnd.ms-office.activeX"/>
  <Override PartName="/xl/charts/chart4.xml" ContentType="application/vnd.openxmlformats-officedocument.drawingml.chart+xml"/>
  <Override PartName="/xl/worksheets/sheet7.xml" ContentType="application/vnd.openxmlformats-officedocument.spreadsheetml.worksheet+xml"/>
  <Override PartName="/xl/worksheets/sheet20.xml" ContentType="application/vnd.openxmlformats-officedocument.spreadsheetml.worksheet+xml"/>
  <Override PartName="/xl/activeX/activeX5.xml" ContentType="application/vnd.ms-office.activeX+xml"/>
  <Override PartName="/xl/activeX/activeX21.bin" ContentType="application/vnd.ms-office.activeX"/>
  <Override PartName="/xl/activeX/activeX37.xml" ContentType="application/vnd.ms-office.activeX+xml"/>
  <Default Extension="xml" ContentType="application/xml"/>
  <Override PartName="/xl/drawings/drawing2.xml" ContentType="application/vnd.openxmlformats-officedocument.drawing+xml"/>
  <Override PartName="/xl/activeX/activeX10.bin" ContentType="application/vnd.ms-office.activeX"/>
  <Override PartName="/xl/activeX/activeX15.xml" ContentType="application/vnd.ms-office.activeX+xml"/>
  <Override PartName="/xl/activeX/activeX26.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22.xml" ContentType="application/vnd.ms-office.activeX+xml"/>
  <Override PartName="/xl/activeX/activeX33.xml" ContentType="application/vnd.ms-office.activeX+xml"/>
  <Override PartName="/xl/externalLinks/externalLink1.xml" ContentType="application/vnd.openxmlformats-officedocument.spreadsheetml.externalLink+xml"/>
  <Override PartName="/xl/activeX/activeX9.bin" ContentType="application/vnd.ms-office.activeX"/>
  <Override PartName="/xl/activeX/activeX11.xml" ContentType="application/vnd.ms-office.activeX+xml"/>
  <Override PartName="/xl/sharedStrings.xml" ContentType="application/vnd.openxmlformats-officedocument.spreadsheetml.sharedStrings+xml"/>
  <Override PartName="/xl/activeX/activeX19.bin" ContentType="application/vnd.ms-office.activeX"/>
  <Override PartName="/xl/worksheets/sheet18.xml" ContentType="application/vnd.openxmlformats-officedocument.spreadsheetml.worksheet+xml"/>
  <Override PartName="/xl/activeX/activeX5.bin" ContentType="application/vnd.ms-office.activeX"/>
  <Override PartName="/xl/activeX/activeX17.bin" ContentType="application/vnd.ms-office.activeX"/>
  <Override PartName="/xl/activeX/activeX28.bin" ContentType="application/vnd.ms-office.activeX"/>
  <Override PartName="/xl/activeX/activeX37.bin" ContentType="application/vnd.ms-office.activeX"/>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activeX/activeX3.bin" ContentType="application/vnd.ms-office.activeX"/>
  <Override PartName="/xl/activeX/activeX15.bin" ContentType="application/vnd.ms-office.activeX"/>
  <Override PartName="/xl/activeX/activeX26.bin" ContentType="application/vnd.ms-office.activeX"/>
  <Override PartName="/xl/activeX/activeX35.bin" ContentType="application/vnd.ms-office.activeX"/>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Override PartName="/xl/activeX/activeX33.bin" ContentType="application/vnd.ms-office.activeX"/>
  <Override PartName="/xl/activeX/activeX38.xml" ContentType="application/vnd.ms-office.activeX+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activeX/activeX27.xml" ContentType="application/vnd.ms-office.activeX+xml"/>
  <Override PartName="/xl/activeX/activeX31.bin" ContentType="application/vnd.ms-office.activeX"/>
  <Override PartName="/xl/activeX/activeX36.xml" ContentType="application/vnd.ms-office.activeX+xml"/>
  <Default Extension="emf" ContentType="image/x-emf"/>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xl/activeX/activeX3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activeX/activeX14.xml" ContentType="application/vnd.ms-office.activeX+xml"/>
  <Override PartName="/xl/activeX/activeX23.xml" ContentType="application/vnd.ms-office.activeX+xml"/>
  <Override PartName="/xl/activeX/activeX32.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activeX/activeX30.xml" ContentType="application/vnd.ms-office.activeX+xml"/>
  <Override PartName="/xl/calcChain.xml" ContentType="application/vnd.openxmlformats-officedocument.spreadsheetml.calcChain+xml"/>
  <Override PartName="/xl/worksheets/sheet19.xml" ContentType="application/vnd.openxmlformats-officedocument.spreadsheetml.worksheet+xml"/>
  <Override PartName="/xl/activeX/activeX8.bin" ContentType="application/vnd.ms-office.activeX"/>
  <Override PartName="/xl/activeX/activeX10.xml" ContentType="application/vnd.ms-office.activeX+xml"/>
  <Override PartName="/xl/activeX/activeX29.bin" ContentType="application/vnd.ms-office.activeX"/>
  <Override PartName="/xl/activeX/activeX38.bin" ContentType="application/vnd.ms-office.activeX"/>
  <Override PartName="/xl/drawings/drawing10.xml" ContentType="application/vnd.openxmlformats-officedocument.drawing+xml"/>
  <Override PartName="/xl/worksheets/sheet17.xml" ContentType="application/vnd.openxmlformats-officedocument.spreadsheetml.worksheet+xml"/>
  <Override PartName="/xl/activeX/activeX6.bin" ContentType="application/vnd.ms-office.activeX"/>
  <Override PartName="/xl/activeX/activeX18.bin" ContentType="application/vnd.ms-office.activeX"/>
  <Override PartName="/xl/activeX/activeX27.bin" ContentType="application/vnd.ms-office.activeX"/>
  <Override PartName="/xl/activeX/activeX36.bin" ContentType="application/vnd.ms-office.activeX"/>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activeX/activeX16.bin" ContentType="application/vnd.ms-office.activeX"/>
  <Override PartName="/xl/activeX/activeX34.bin" ContentType="application/vnd.ms-office.activeX"/>
  <Override PartName="/xl/charts/chart6.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activeX/activeX23.bin" ContentType="application/vnd.ms-office.activeX"/>
  <Override PartName="/xl/drawings/drawing8.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Default Extension="rels" ContentType="application/vnd.openxmlformats-package.relationships+xml"/>
  <Override PartName="/xl/worksheets/sheet5.xml" ContentType="application/vnd.openxmlformats-officedocument.spreadsheetml.worksheet+xml"/>
  <Override PartName="/xl/activeX/activeX3.xml" ContentType="application/vnd.ms-office.activeX+xml"/>
  <Override PartName="/xl/activeX/activeX24.xml" ContentType="application/vnd.ms-office.activeX+xml"/>
  <Override PartName="/xl/activeX/activeX35.xml" ContentType="application/vnd.ms-office.activeX+xml"/>
  <Override PartName="/xl/externalLinks/externalLink3.xml" ContentType="application/vnd.openxmlformats-officedocument.spreadsheetml.externalLink+xml"/>
  <Override PartName="/xl/activeX/activeX13.xml" ContentType="application/vnd.ms-office.activeX+xml"/>
  <Override PartName="/xl/worksheets/sheet1.xml" ContentType="application/vnd.openxmlformats-officedocument.spreadsheetml.worksheet+xml"/>
  <Override PartName="/xl/activeX/activeX20.xml" ContentType="application/vnd.ms-office.activeX+xml"/>
  <Override PartName="/xl/activeX/activeX31.xml" ContentType="application/vnd.ms-office.activeX+xml"/>
  <Override PartName="/xl/drawings/drawing11.xml" ContentType="application/vnd.openxmlformats-officedocument.drawing+xml"/>
  <Override PartName="/xl/activeX/activeX7.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270" windowWidth="13515" windowHeight="6870"/>
  </bookViews>
  <sheets>
    <sheet name="Overview" sheetId="30" r:id="rId1"/>
    <sheet name="A-Input Water Use Data" sheetId="24" r:id="rId2"/>
    <sheet name="A-Input Conservation Options" sheetId="27" r:id="rId3"/>
    <sheet name="A-Output-WaterElectric Impact" sheetId="25" r:id="rId4"/>
    <sheet name="A-Output-Cons Acts Impacts" sheetId="39" r:id="rId5"/>
    <sheet name="Sheet1" sheetId="38" state="hidden" r:id="rId6"/>
    <sheet name="A-Summary Output" sheetId="26" r:id="rId7"/>
    <sheet name="Total Emissions for Systems" sheetId="18" state="hidden" r:id="rId8"/>
    <sheet name="Reduced Emis Val-Options" sheetId="12" state="hidden" r:id="rId9"/>
    <sheet name="MROE" sheetId="3" state="hidden" r:id="rId10"/>
    <sheet name="RFCM" sheetId="4" state="hidden" r:id="rId11"/>
    <sheet name="RFCW" sheetId="5" state="hidden" r:id="rId12"/>
    <sheet name="NYUP" sheetId="6" state="hidden" r:id="rId13"/>
    <sheet name="MROW" sheetId="8" state="hidden" r:id="rId14"/>
    <sheet name="RFCE" sheetId="20" state="hidden" r:id="rId15"/>
    <sheet name="Lists" sheetId="19" state="hidden" r:id="rId16"/>
    <sheet name="Water Electricity" sheetId="9" state="hidden" r:id="rId17"/>
    <sheet name="A-Output-Emissions Impacts" sheetId="16" r:id="rId18"/>
    <sheet name="Reduced Emis Val-Total" sheetId="33" state="hidden" r:id="rId19"/>
    <sheet name="A-Carbon Credit Value Scenarios" sheetId="29" r:id="rId20"/>
    <sheet name="Annual Use Worksheet" sheetId="22" state="hidden" r:id="rId21"/>
    <sheet name="C-Input-Annual Water Use" sheetId="28" r:id="rId22"/>
    <sheet name="C-Output-Annual Emissions" sheetId="23" r:id="rId23"/>
  </sheets>
  <externalReferences>
    <externalReference r:id="rId24"/>
    <externalReference r:id="rId25"/>
    <externalReference r:id="rId26"/>
  </externalReferences>
  <definedNames>
    <definedName name="Build1994">'[1]Lists (2)'!$F$2:$F$6</definedName>
    <definedName name="Development">'[1]Lists (2)'!$G$2:$G$5</definedName>
    <definedName name="DevelopTime">#REF!</definedName>
    <definedName name="DevelopTimeQ">#REF!</definedName>
    <definedName name="eGrid" localSheetId="22">[2]Lists!#REF!</definedName>
    <definedName name="eGrid">Lists!#REF!</definedName>
    <definedName name="eGRID1" localSheetId="22">[2]Lists!$B$3:$B$8</definedName>
    <definedName name="eGRID1">Lists!$B$3:$B$8</definedName>
    <definedName name="eGridRegion">'Reduced Emis Val-Options'!$C$47:$G$47</definedName>
    <definedName name="EGridRegions">'Reduced Emis Val-Options'!$C$13:$G$13</definedName>
    <definedName name="eGRIDs" localSheetId="20">[3]Sheet2!$C$3:$C$7</definedName>
    <definedName name="eGRIDs" localSheetId="22">[3]Sheet2!$C$3:$C$7</definedName>
    <definedName name="eGRIDs">Lists!$B$3:$B$7</definedName>
    <definedName name="GLWUFF">'[1]GL-GL-CSO Qs'!$C$9</definedName>
    <definedName name="MROE__Wisconsin_and_Michigan_Upper_Peninsula" localSheetId="20">'Annual Use Worksheet'!$I$8:$M$8</definedName>
    <definedName name="MROE__Wisconsin_and_Michigan_Upper_Peninsula">'Total Emissions for Systems'!$C$13:$G$13</definedName>
    <definedName name="ReceivingWater">'[1]Lists (2)'!$B$2:$B$4</definedName>
    <definedName name="ReceivingWaterQ">#REF!</definedName>
    <definedName name="Region">'Reduced Emis Val-Options'!$C$13:$G$13</definedName>
    <definedName name="Regions">'Reduced Emis Val-Options'!$C$13:$G$13</definedName>
    <definedName name="SewerSystem">'[1]Lists (2)'!$C$2:$C$4</definedName>
    <definedName name="SewerSystemQ">#REF!</definedName>
    <definedName name="UFF">'[1]Lists (2)'!$E$2:$E$5</definedName>
    <definedName name="WaterElec">'C-Input-Annual Water Use'!$C$19:$C$22</definedName>
    <definedName name="WWElec">'C-Input-Annual Water Use'!$C$25:$C$28</definedName>
    <definedName name="Years" localSheetId="22">[2]Lists!$C$3:$C$12</definedName>
    <definedName name="Years">Lists!$C$4:$C$13</definedName>
    <definedName name="Years1">Lists!$C$3:$C$12</definedName>
    <definedName name="YesNo">'[1]Lists (2)'!$D$3:$D$5</definedName>
    <definedName name="YN">Lists!$D$3:$D$5</definedName>
  </definedNames>
  <calcPr calcId="125725"/>
</workbook>
</file>

<file path=xl/calcChain.xml><?xml version="1.0" encoding="utf-8"?>
<calcChain xmlns="http://schemas.openxmlformats.org/spreadsheetml/2006/main">
  <c r="B10" i="27"/>
  <c r="B23" i="25"/>
  <c r="B25" s="1"/>
  <c r="B27"/>
  <c r="B31"/>
  <c r="B40"/>
  <c r="B39"/>
  <c r="B35"/>
  <c r="B59"/>
  <c r="B51"/>
  <c r="B55"/>
  <c r="B63"/>
  <c r="B67"/>
  <c r="B45"/>
  <c r="B12"/>
  <c r="B9"/>
  <c r="B17" s="1"/>
  <c r="B19" s="1"/>
  <c r="B13"/>
  <c r="B68" s="1"/>
  <c r="B61"/>
  <c r="D44" i="28"/>
  <c r="E44" s="1"/>
  <c r="D43"/>
  <c r="E43" s="1"/>
  <c r="D42"/>
  <c r="E42" s="1"/>
  <c r="B44"/>
  <c r="C44" s="1"/>
  <c r="B43"/>
  <c r="C43" s="1"/>
  <c r="B42"/>
  <c r="C42" s="1"/>
  <c r="F1"/>
  <c r="A2"/>
  <c r="C34"/>
  <c r="C33"/>
  <c r="C32"/>
  <c r="C31"/>
  <c r="A1" i="27"/>
  <c r="F10" i="22"/>
  <c r="F9"/>
  <c r="E10"/>
  <c r="E9"/>
  <c r="D10"/>
  <c r="D9"/>
  <c r="C10"/>
  <c r="C9"/>
  <c r="C10" i="33"/>
  <c r="C9"/>
  <c r="A1" i="26"/>
  <c r="B1" i="23"/>
  <c r="A48" i="25"/>
  <c r="C4" i="28"/>
  <c r="B26" i="23" s="1"/>
  <c r="C37" i="28"/>
  <c r="C38"/>
  <c r="C39"/>
  <c r="C40"/>
  <c r="E27" i="23"/>
  <c r="D27"/>
  <c r="C27"/>
  <c r="B27"/>
  <c r="B7" i="25"/>
  <c r="C5" i="33"/>
  <c r="G31" s="1"/>
  <c r="A3" i="25"/>
  <c r="B5"/>
  <c r="B6"/>
  <c r="B10" s="1"/>
  <c r="B8"/>
  <c r="H19" i="33"/>
  <c r="D26"/>
  <c r="D28"/>
  <c r="F30"/>
  <c r="G14"/>
  <c r="E15"/>
  <c r="C17"/>
  <c r="G18"/>
  <c r="E19"/>
  <c r="E42" s="1"/>
  <c r="G25"/>
  <c r="E26"/>
  <c r="C28"/>
  <c r="G29"/>
  <c r="E30"/>
  <c r="B6" i="27"/>
  <c r="B18" i="25" s="1"/>
  <c r="G37" i="33"/>
  <c r="G46" s="1"/>
  <c r="E16" i="23"/>
  <c r="D16"/>
  <c r="C16"/>
  <c r="B16"/>
  <c r="E5"/>
  <c r="D5"/>
  <c r="C5"/>
  <c r="B5"/>
  <c r="C14" i="22"/>
  <c r="I10" s="1"/>
  <c r="D14"/>
  <c r="M25"/>
  <c r="E14"/>
  <c r="M35"/>
  <c r="F14"/>
  <c r="M45"/>
  <c r="C15"/>
  <c r="D15"/>
  <c r="S25" s="1"/>
  <c r="E15"/>
  <c r="S35" s="1"/>
  <c r="F15"/>
  <c r="S45" s="1"/>
  <c r="S15"/>
  <c r="L10"/>
  <c r="K11"/>
  <c r="Q11"/>
  <c r="S11"/>
  <c r="I12"/>
  <c r="K12"/>
  <c r="M12"/>
  <c r="Q12"/>
  <c r="S12"/>
  <c r="I13"/>
  <c r="K13"/>
  <c r="M13"/>
  <c r="Q13"/>
  <c r="S13"/>
  <c r="I14"/>
  <c r="K14"/>
  <c r="M14"/>
  <c r="Q14"/>
  <c r="S14"/>
  <c r="I15"/>
  <c r="K15"/>
  <c r="M15"/>
  <c r="J9"/>
  <c r="L9"/>
  <c r="P9"/>
  <c r="R9"/>
  <c r="T9"/>
  <c r="K10"/>
  <c r="M10"/>
  <c r="Q10"/>
  <c r="S10"/>
  <c r="F74" s="1"/>
  <c r="I11"/>
  <c r="R15"/>
  <c r="T15"/>
  <c r="J19"/>
  <c r="L19"/>
  <c r="P19"/>
  <c r="R19"/>
  <c r="T19"/>
  <c r="J20"/>
  <c r="L20"/>
  <c r="P20"/>
  <c r="R20"/>
  <c r="T20"/>
  <c r="J21"/>
  <c r="L21"/>
  <c r="P21"/>
  <c r="R21"/>
  <c r="T21"/>
  <c r="J22"/>
  <c r="L22"/>
  <c r="P22"/>
  <c r="R22"/>
  <c r="T22"/>
  <c r="J23"/>
  <c r="L23"/>
  <c r="P23"/>
  <c r="R23"/>
  <c r="T23"/>
  <c r="J24"/>
  <c r="L24"/>
  <c r="P24"/>
  <c r="R24"/>
  <c r="T24"/>
  <c r="J25"/>
  <c r="L25"/>
  <c r="P25"/>
  <c r="R25"/>
  <c r="T25"/>
  <c r="J29"/>
  <c r="L29"/>
  <c r="P29"/>
  <c r="R29"/>
  <c r="T29"/>
  <c r="J30"/>
  <c r="L30"/>
  <c r="P30"/>
  <c r="R30"/>
  <c r="T30"/>
  <c r="J31"/>
  <c r="L31"/>
  <c r="P31"/>
  <c r="R31"/>
  <c r="T31"/>
  <c r="J32"/>
  <c r="L32"/>
  <c r="P32"/>
  <c r="R32"/>
  <c r="T32"/>
  <c r="J33"/>
  <c r="L33"/>
  <c r="P33"/>
  <c r="R33"/>
  <c r="T33"/>
  <c r="J34"/>
  <c r="L34"/>
  <c r="P34"/>
  <c r="R34"/>
  <c r="T34"/>
  <c r="J35"/>
  <c r="L35"/>
  <c r="P35"/>
  <c r="R35"/>
  <c r="T35"/>
  <c r="J39"/>
  <c r="L39"/>
  <c r="P39"/>
  <c r="R39"/>
  <c r="T39"/>
  <c r="J40"/>
  <c r="L40"/>
  <c r="P40"/>
  <c r="R40"/>
  <c r="T40"/>
  <c r="J41"/>
  <c r="L41"/>
  <c r="P41"/>
  <c r="R41"/>
  <c r="T41"/>
  <c r="J42"/>
  <c r="L42"/>
  <c r="P42"/>
  <c r="R42"/>
  <c r="T42"/>
  <c r="J43"/>
  <c r="L43"/>
  <c r="P43"/>
  <c r="R43"/>
  <c r="T43"/>
  <c r="J44"/>
  <c r="L44"/>
  <c r="P44"/>
  <c r="R44"/>
  <c r="T44"/>
  <c r="J45"/>
  <c r="L45"/>
  <c r="P45"/>
  <c r="R45"/>
  <c r="T45"/>
  <c r="I9"/>
  <c r="J11"/>
  <c r="L11"/>
  <c r="F75" s="1"/>
  <c r="P11"/>
  <c r="R11"/>
  <c r="E75" s="1"/>
  <c r="T11"/>
  <c r="J12"/>
  <c r="D76" s="1"/>
  <c r="L12"/>
  <c r="F76" s="1"/>
  <c r="P12"/>
  <c r="R12"/>
  <c r="T12"/>
  <c r="G76" s="1"/>
  <c r="J13"/>
  <c r="L13"/>
  <c r="F77" s="1"/>
  <c r="P13"/>
  <c r="R13"/>
  <c r="T13"/>
  <c r="J14"/>
  <c r="D78" s="1"/>
  <c r="L14"/>
  <c r="P14"/>
  <c r="R14"/>
  <c r="T14"/>
  <c r="J15"/>
  <c r="L15"/>
  <c r="P15"/>
  <c r="K9"/>
  <c r="M9"/>
  <c r="Q9"/>
  <c r="D73" s="1"/>
  <c r="D82" s="1"/>
  <c r="S9"/>
  <c r="J10"/>
  <c r="D74" s="1"/>
  <c r="P10"/>
  <c r="R10"/>
  <c r="T10"/>
  <c r="Q15"/>
  <c r="D79" s="1"/>
  <c r="I19"/>
  <c r="K19"/>
  <c r="M19"/>
  <c r="Q19"/>
  <c r="S19"/>
  <c r="I20"/>
  <c r="K20"/>
  <c r="M20"/>
  <c r="Q20"/>
  <c r="S20"/>
  <c r="I21"/>
  <c r="K21"/>
  <c r="M21"/>
  <c r="Q21"/>
  <c r="S21"/>
  <c r="I22"/>
  <c r="K22"/>
  <c r="M22"/>
  <c r="Q22"/>
  <c r="S22"/>
  <c r="I23"/>
  <c r="K23"/>
  <c r="M23"/>
  <c r="Q23"/>
  <c r="S23"/>
  <c r="I24"/>
  <c r="K24"/>
  <c r="M24"/>
  <c r="Q24"/>
  <c r="S24"/>
  <c r="I25"/>
  <c r="K25"/>
  <c r="Q25"/>
  <c r="I29"/>
  <c r="K29"/>
  <c r="M29"/>
  <c r="Q29"/>
  <c r="S29"/>
  <c r="I30"/>
  <c r="K30"/>
  <c r="M30"/>
  <c r="Q30"/>
  <c r="S30"/>
  <c r="I31"/>
  <c r="K31"/>
  <c r="M31"/>
  <c r="Q31"/>
  <c r="S31"/>
  <c r="I32"/>
  <c r="K32"/>
  <c r="M32"/>
  <c r="Q32"/>
  <c r="S32"/>
  <c r="I33"/>
  <c r="K33"/>
  <c r="M33"/>
  <c r="Q33"/>
  <c r="S33"/>
  <c r="I34"/>
  <c r="K34"/>
  <c r="M34"/>
  <c r="Q34"/>
  <c r="S34"/>
  <c r="I35"/>
  <c r="K35"/>
  <c r="Q35"/>
  <c r="I39"/>
  <c r="K39"/>
  <c r="M39"/>
  <c r="Q39"/>
  <c r="S39"/>
  <c r="I40"/>
  <c r="K40"/>
  <c r="M40"/>
  <c r="Q40"/>
  <c r="S40"/>
  <c r="I41"/>
  <c r="K41"/>
  <c r="M41"/>
  <c r="Q41"/>
  <c r="S41"/>
  <c r="I42"/>
  <c r="K42"/>
  <c r="M42"/>
  <c r="Q42"/>
  <c r="S42"/>
  <c r="I43"/>
  <c r="K43"/>
  <c r="M43"/>
  <c r="Q43"/>
  <c r="S43"/>
  <c r="I44"/>
  <c r="K44"/>
  <c r="M44"/>
  <c r="Q44"/>
  <c r="S44"/>
  <c r="I45"/>
  <c r="K45"/>
  <c r="Q45"/>
  <c r="C12" i="23"/>
  <c r="D75" i="22"/>
  <c r="E7" i="23"/>
  <c r="B10"/>
  <c r="G78" i="22"/>
  <c r="C78"/>
  <c r="F78"/>
  <c r="D77"/>
  <c r="B9" i="23"/>
  <c r="F79" i="22"/>
  <c r="F73"/>
  <c r="F82" s="1"/>
  <c r="C79"/>
  <c r="G79"/>
  <c r="C73"/>
  <c r="C82" s="1"/>
  <c r="E79"/>
  <c r="G73"/>
  <c r="G82" s="1"/>
  <c r="C75"/>
  <c r="E78"/>
  <c r="E73"/>
  <c r="E82" s="1"/>
  <c r="E77"/>
  <c r="G74"/>
  <c r="C76"/>
  <c r="E74"/>
  <c r="E76"/>
  <c r="C77"/>
  <c r="G77"/>
  <c r="C9" i="18"/>
  <c r="C47" i="16"/>
  <c r="A2"/>
  <c r="C10" i="18"/>
  <c r="K40" i="5"/>
  <c r="J40"/>
  <c r="I40"/>
  <c r="L40"/>
  <c r="F42"/>
  <c r="J38"/>
  <c r="K38"/>
  <c r="L38"/>
  <c r="F39"/>
  <c r="G39"/>
  <c r="I38"/>
  <c r="F41"/>
  <c r="F40"/>
  <c r="F38"/>
  <c r="G38"/>
  <c r="F36"/>
  <c r="G36"/>
  <c r="H36"/>
  <c r="F37"/>
  <c r="G37"/>
  <c r="C6" i="12"/>
  <c r="B24" i="25" l="1"/>
  <c r="C40" i="33"/>
  <c r="B60" i="25"/>
  <c r="C5" i="18"/>
  <c r="C5" i="12"/>
  <c r="E31" i="33"/>
  <c r="E43" s="1"/>
  <c r="C30"/>
  <c r="E28"/>
  <c r="G27"/>
  <c r="C26"/>
  <c r="E20"/>
  <c r="C19"/>
  <c r="C42" s="1"/>
  <c r="E17"/>
  <c r="G16"/>
  <c r="G39" s="1"/>
  <c r="C15"/>
  <c r="F31"/>
  <c r="F43" s="1"/>
  <c r="D29"/>
  <c r="D27"/>
  <c r="D25"/>
  <c r="D17"/>
  <c r="B33" i="25"/>
  <c r="B56"/>
  <c r="H17" i="18"/>
  <c r="C6"/>
  <c r="G26" s="1"/>
  <c r="C31" i="33"/>
  <c r="G30"/>
  <c r="E29"/>
  <c r="C29"/>
  <c r="G28"/>
  <c r="E27"/>
  <c r="C27"/>
  <c r="G26"/>
  <c r="E25"/>
  <c r="C25"/>
  <c r="C20"/>
  <c r="G19"/>
  <c r="G42" s="1"/>
  <c r="E18"/>
  <c r="C18"/>
  <c r="G17"/>
  <c r="E16"/>
  <c r="C16"/>
  <c r="G15"/>
  <c r="E14"/>
  <c r="C14"/>
  <c r="C37" s="1"/>
  <c r="C46" s="1"/>
  <c r="C59" s="1"/>
  <c r="D31"/>
  <c r="D30"/>
  <c r="F29"/>
  <c r="F28"/>
  <c r="F27"/>
  <c r="F26"/>
  <c r="F38" s="1"/>
  <c r="F20"/>
  <c r="F18"/>
  <c r="F15"/>
  <c r="C6"/>
  <c r="H27" s="1"/>
  <c r="H39" s="1"/>
  <c r="B69" i="25"/>
  <c r="B57"/>
  <c r="B32"/>
  <c r="C74" i="22"/>
  <c r="D19" i="33"/>
  <c r="D42" s="1"/>
  <c r="H17"/>
  <c r="F16"/>
  <c r="D14"/>
  <c r="D37" s="1"/>
  <c r="D46" s="1"/>
  <c r="D60" s="1"/>
  <c r="M11" i="22"/>
  <c r="G75" s="1"/>
  <c r="B53" i="25"/>
  <c r="C20" i="18"/>
  <c r="B64" i="25"/>
  <c r="B37"/>
  <c r="F25" i="33"/>
  <c r="H20"/>
  <c r="D20"/>
  <c r="D43" s="1"/>
  <c r="F19"/>
  <c r="F42" s="1"/>
  <c r="H18"/>
  <c r="D18"/>
  <c r="D41" s="1"/>
  <c r="F17"/>
  <c r="F40" s="1"/>
  <c r="H16"/>
  <c r="D16"/>
  <c r="D39" s="1"/>
  <c r="H14"/>
  <c r="G20"/>
  <c r="G43" s="1"/>
  <c r="D40"/>
  <c r="B46" i="25"/>
  <c r="B65"/>
  <c r="B52"/>
  <c r="B36"/>
  <c r="B47"/>
  <c r="B73"/>
  <c r="C10" i="12" s="1"/>
  <c r="B41" i="25"/>
  <c r="B72" s="1"/>
  <c r="G17" i="18"/>
  <c r="F15"/>
  <c r="E8" i="23"/>
  <c r="C11"/>
  <c r="H31" i="33"/>
  <c r="H43" s="1"/>
  <c r="E45" i="28"/>
  <c r="G41" i="33"/>
  <c r="E38"/>
  <c r="C45" i="28"/>
  <c r="G19" i="18"/>
  <c r="D17"/>
  <c r="F16"/>
  <c r="G18"/>
  <c r="E6" i="23"/>
  <c r="E10"/>
  <c r="C7"/>
  <c r="D8"/>
  <c r="B7"/>
  <c r="D7"/>
  <c r="B4"/>
  <c r="H30" i="33"/>
  <c r="H42" s="1"/>
  <c r="B28" i="25"/>
  <c r="H15" i="18"/>
  <c r="H15" i="33"/>
  <c r="D15"/>
  <c r="D38" s="1"/>
  <c r="F14"/>
  <c r="B21" i="25"/>
  <c r="E41" i="33"/>
  <c r="D56"/>
  <c r="D48"/>
  <c r="D55"/>
  <c r="D62"/>
  <c r="D54"/>
  <c r="D61"/>
  <c r="D53"/>
  <c r="G61"/>
  <c r="G57"/>
  <c r="G53"/>
  <c r="G49"/>
  <c r="G60"/>
  <c r="G56"/>
  <c r="G52"/>
  <c r="G48"/>
  <c r="G59"/>
  <c r="G55"/>
  <c r="G51"/>
  <c r="G62"/>
  <c r="G58"/>
  <c r="G54"/>
  <c r="G50"/>
  <c r="C55"/>
  <c r="C62"/>
  <c r="C54"/>
  <c r="C61"/>
  <c r="C53"/>
  <c r="C60"/>
  <c r="C52"/>
  <c r="C29" i="18"/>
  <c r="F26"/>
  <c r="F38" s="1"/>
  <c r="H29"/>
  <c r="G15"/>
  <c r="F14"/>
  <c r="D19"/>
  <c r="C14"/>
  <c r="D14"/>
  <c r="B10" i="16" s="1"/>
  <c r="E17" i="18"/>
  <c r="E20"/>
  <c r="G20"/>
  <c r="C31"/>
  <c r="G27"/>
  <c r="E29"/>
  <c r="C25"/>
  <c r="H31"/>
  <c r="H25"/>
  <c r="G14"/>
  <c r="F17"/>
  <c r="B29" i="25"/>
  <c r="B20"/>
  <c r="B7" i="26"/>
  <c r="D18" i="18"/>
  <c r="E31"/>
  <c r="D25"/>
  <c r="B23" i="23"/>
  <c r="B11"/>
  <c r="B18"/>
  <c r="B29" s="1"/>
  <c r="C6"/>
  <c r="D9"/>
  <c r="D11"/>
  <c r="E12"/>
  <c r="D18"/>
  <c r="D22"/>
  <c r="E19"/>
  <c r="E23"/>
  <c r="C10"/>
  <c r="B12"/>
  <c r="B34" s="1"/>
  <c r="C20"/>
  <c r="B20"/>
  <c r="B31" s="1"/>
  <c r="C9"/>
  <c r="C31" s="1"/>
  <c r="D6"/>
  <c r="D10"/>
  <c r="E9"/>
  <c r="B6"/>
  <c r="B8"/>
  <c r="C21"/>
  <c r="D19"/>
  <c r="D30" s="1"/>
  <c r="D23"/>
  <c r="E20"/>
  <c r="C8"/>
  <c r="E11"/>
  <c r="D12"/>
  <c r="D34" s="1"/>
  <c r="C18" i="18" l="1"/>
  <c r="C41" s="1"/>
  <c r="E19"/>
  <c r="G38"/>
  <c r="F30"/>
  <c r="F42" s="1"/>
  <c r="G29"/>
  <c r="H20"/>
  <c r="H43" s="1"/>
  <c r="F18"/>
  <c r="D15"/>
  <c r="D38" s="1"/>
  <c r="F20"/>
  <c r="H30"/>
  <c r="D30"/>
  <c r="E15" i="16" s="1"/>
  <c r="C26" i="18"/>
  <c r="C38" s="1"/>
  <c r="E27"/>
  <c r="E28"/>
  <c r="H26"/>
  <c r="H19"/>
  <c r="H16"/>
  <c r="H18"/>
  <c r="H41" s="1"/>
  <c r="G16"/>
  <c r="E18"/>
  <c r="E14"/>
  <c r="D20"/>
  <c r="B16" i="16" s="1"/>
  <c r="B30" s="1"/>
  <c r="H14" i="18"/>
  <c r="G31"/>
  <c r="G43" s="1"/>
  <c r="F29"/>
  <c r="C30"/>
  <c r="C48" i="33"/>
  <c r="C56"/>
  <c r="C49"/>
  <c r="C57"/>
  <c r="C50"/>
  <c r="C58"/>
  <c r="C51"/>
  <c r="H28"/>
  <c r="H40" s="1"/>
  <c r="E15" i="18"/>
  <c r="C16"/>
  <c r="E16"/>
  <c r="C19"/>
  <c r="C42" s="1"/>
  <c r="F19"/>
  <c r="C17"/>
  <c r="D16"/>
  <c r="B12" i="16" s="1"/>
  <c r="F39" i="33"/>
  <c r="C15" i="18"/>
  <c r="C38" i="33"/>
  <c r="E40"/>
  <c r="H26"/>
  <c r="H38" s="1"/>
  <c r="H25"/>
  <c r="H37" s="1"/>
  <c r="H29"/>
  <c r="H41" s="1"/>
  <c r="G30" i="18"/>
  <c r="D28"/>
  <c r="E13" i="16" s="1"/>
  <c r="F31" i="18"/>
  <c r="C28"/>
  <c r="C40" s="1"/>
  <c r="E30"/>
  <c r="E42" s="1"/>
  <c r="F25"/>
  <c r="D26"/>
  <c r="E11" i="16" s="1"/>
  <c r="F28" i="18"/>
  <c r="F40" s="1"/>
  <c r="F27"/>
  <c r="H27"/>
  <c r="H39" s="1"/>
  <c r="H28"/>
  <c r="E26"/>
  <c r="E38" s="1"/>
  <c r="D31"/>
  <c r="E16" i="16" s="1"/>
  <c r="C27" i="18"/>
  <c r="E25"/>
  <c r="G25"/>
  <c r="D27"/>
  <c r="E12" i="16" s="1"/>
  <c r="D29" i="18"/>
  <c r="E14" i="16" s="1"/>
  <c r="G28" i="18"/>
  <c r="F43"/>
  <c r="E37"/>
  <c r="E46" s="1"/>
  <c r="F39"/>
  <c r="G42"/>
  <c r="B26" i="16"/>
  <c r="E37" i="33"/>
  <c r="E46" s="1"/>
  <c r="C39"/>
  <c r="G40"/>
  <c r="C43"/>
  <c r="B75" i="25"/>
  <c r="G37" i="18"/>
  <c r="G46" s="1"/>
  <c r="C43"/>
  <c r="F37"/>
  <c r="F46" s="1"/>
  <c r="D39"/>
  <c r="D49" i="33"/>
  <c r="D57"/>
  <c r="D50"/>
  <c r="D58"/>
  <c r="D51"/>
  <c r="D59"/>
  <c r="D52"/>
  <c r="C39" i="18"/>
  <c r="G40"/>
  <c r="F41" i="33"/>
  <c r="G38"/>
  <c r="E39"/>
  <c r="C41"/>
  <c r="H40" i="18"/>
  <c r="E39"/>
  <c r="H38"/>
  <c r="F37" i="33"/>
  <c r="F46" s="1"/>
  <c r="F59" s="1"/>
  <c r="F54"/>
  <c r="B42" i="25"/>
  <c r="B43"/>
  <c r="B76" s="1"/>
  <c r="D22" i="26" s="1"/>
  <c r="C9" i="12"/>
  <c r="B74" i="25"/>
  <c r="B17" i="39" s="1"/>
  <c r="B6" i="26"/>
  <c r="E30" i="23"/>
  <c r="D29"/>
  <c r="G41" i="18"/>
  <c r="F50" i="33"/>
  <c r="B15" i="23"/>
  <c r="E22"/>
  <c r="E33" s="1"/>
  <c r="D21"/>
  <c r="D32" s="1"/>
  <c r="C17"/>
  <c r="C28" s="1"/>
  <c r="C18"/>
  <c r="C29" s="1"/>
  <c r="B19"/>
  <c r="E17"/>
  <c r="C23"/>
  <c r="C34" s="1"/>
  <c r="E18"/>
  <c r="E29" s="1"/>
  <c r="D17"/>
  <c r="D28" s="1"/>
  <c r="B21"/>
  <c r="B32" s="1"/>
  <c r="B17"/>
  <c r="B28" s="1"/>
  <c r="C22"/>
  <c r="C33" s="1"/>
  <c r="E21"/>
  <c r="E32" s="1"/>
  <c r="D20"/>
  <c r="D31" s="1"/>
  <c r="C19"/>
  <c r="B22"/>
  <c r="B33" s="1"/>
  <c r="B30"/>
  <c r="E28"/>
  <c r="B13" i="16"/>
  <c r="C30" i="23"/>
  <c r="E43" i="18"/>
  <c r="B11" i="16"/>
  <c r="B25" s="1"/>
  <c r="D43" i="18"/>
  <c r="H42"/>
  <c r="G39"/>
  <c r="E41"/>
  <c r="H37"/>
  <c r="D42"/>
  <c r="B15" i="16"/>
  <c r="B29" s="1"/>
  <c r="E40" i="18"/>
  <c r="C37"/>
  <c r="C46" s="1"/>
  <c r="D33" i="23"/>
  <c r="E10" i="16"/>
  <c r="B24" s="1"/>
  <c r="D37" i="18"/>
  <c r="D46" s="1"/>
  <c r="B14" i="16"/>
  <c r="D25" i="12"/>
  <c r="E28"/>
  <c r="H26"/>
  <c r="H30"/>
  <c r="C26"/>
  <c r="F27"/>
  <c r="C30"/>
  <c r="D29"/>
  <c r="E26"/>
  <c r="D27"/>
  <c r="C28"/>
  <c r="F29"/>
  <c r="E30"/>
  <c r="G25"/>
  <c r="F26"/>
  <c r="E27"/>
  <c r="D28"/>
  <c r="C29"/>
  <c r="H28"/>
  <c r="C31"/>
  <c r="H25"/>
  <c r="G26"/>
  <c r="F31"/>
  <c r="G30"/>
  <c r="G27"/>
  <c r="D26"/>
  <c r="E29"/>
  <c r="H29"/>
  <c r="H31"/>
  <c r="H27"/>
  <c r="F25"/>
  <c r="G28"/>
  <c r="D31"/>
  <c r="E25"/>
  <c r="C27"/>
  <c r="F28"/>
  <c r="D30"/>
  <c r="G31"/>
  <c r="C25"/>
  <c r="G29"/>
  <c r="F30"/>
  <c r="E31"/>
  <c r="C32" i="23"/>
  <c r="E31"/>
  <c r="E34"/>
  <c r="B28" i="16" l="1"/>
  <c r="B27"/>
  <c r="F41" i="18"/>
  <c r="E61" i="33"/>
  <c r="E53"/>
  <c r="E60"/>
  <c r="E52"/>
  <c r="E59"/>
  <c r="E51"/>
  <c r="E58"/>
  <c r="E50"/>
  <c r="E57"/>
  <c r="E49"/>
  <c r="E56"/>
  <c r="E48"/>
  <c r="E55"/>
  <c r="E62"/>
  <c r="E54"/>
  <c r="D41" i="18"/>
  <c r="D40"/>
  <c r="F60" i="33"/>
  <c r="B8" i="26"/>
  <c r="F56" i="33"/>
  <c r="F55"/>
  <c r="F49"/>
  <c r="F61"/>
  <c r="F48"/>
  <c r="F51"/>
  <c r="F52"/>
  <c r="F62"/>
  <c r="F57"/>
  <c r="F58"/>
  <c r="F53"/>
  <c r="B10" i="39"/>
  <c r="B6"/>
  <c r="B14"/>
  <c r="B8"/>
  <c r="B12"/>
  <c r="B16"/>
  <c r="B7"/>
  <c r="B9"/>
  <c r="B11"/>
  <c r="B13"/>
  <c r="B15"/>
  <c r="F14" i="12"/>
  <c r="F37" s="1"/>
  <c r="F46" s="1"/>
  <c r="F54" s="1"/>
  <c r="F20"/>
  <c r="F43" s="1"/>
  <c r="G17"/>
  <c r="G40" s="1"/>
  <c r="G19"/>
  <c r="G42" s="1"/>
  <c r="H20"/>
  <c r="H18"/>
  <c r="H41" s="1"/>
  <c r="H17"/>
  <c r="H40" s="1"/>
  <c r="E16"/>
  <c r="E39" s="1"/>
  <c r="F19"/>
  <c r="F42" s="1"/>
  <c r="E17"/>
  <c r="E40" s="1"/>
  <c r="D20"/>
  <c r="B60" i="16" s="1"/>
  <c r="E18" i="12"/>
  <c r="E41" s="1"/>
  <c r="G16"/>
  <c r="G39" s="1"/>
  <c r="D14"/>
  <c r="B54" i="16" s="1"/>
  <c r="C14" i="12"/>
  <c r="C37" s="1"/>
  <c r="C46" s="1"/>
  <c r="C50" s="1"/>
  <c r="G18"/>
  <c r="G41" s="1"/>
  <c r="E19"/>
  <c r="E42" s="1"/>
  <c r="F17"/>
  <c r="F40" s="1"/>
  <c r="C18"/>
  <c r="C41" s="1"/>
  <c r="C19"/>
  <c r="C42" s="1"/>
  <c r="G14"/>
  <c r="G37" s="1"/>
  <c r="G46" s="1"/>
  <c r="D17"/>
  <c r="B57" i="16" s="1"/>
  <c r="H15" i="12"/>
  <c r="H38" s="1"/>
  <c r="H16"/>
  <c r="H39" s="1"/>
  <c r="C15"/>
  <c r="C38" s="1"/>
  <c r="E15"/>
  <c r="E38" s="1"/>
  <c r="D16"/>
  <c r="B56" i="16" s="1"/>
  <c r="D15" i="12"/>
  <c r="B55" i="16" s="1"/>
  <c r="C20" i="12"/>
  <c r="C43" s="1"/>
  <c r="E20"/>
  <c r="E43" s="1"/>
  <c r="H19"/>
  <c r="H42" s="1"/>
  <c r="D19"/>
  <c r="B59" i="16" s="1"/>
  <c r="F15" i="12"/>
  <c r="F38" s="1"/>
  <c r="F18"/>
  <c r="F41" s="1"/>
  <c r="F16"/>
  <c r="F39" s="1"/>
  <c r="G15"/>
  <c r="G38" s="1"/>
  <c r="E14"/>
  <c r="E37" s="1"/>
  <c r="E46" s="1"/>
  <c r="C17"/>
  <c r="C40" s="1"/>
  <c r="G20"/>
  <c r="C16"/>
  <c r="C39" s="1"/>
  <c r="H14"/>
  <c r="H37" s="1"/>
  <c r="D18"/>
  <c r="B58" i="16" s="1"/>
  <c r="G43" i="12"/>
  <c r="H43"/>
  <c r="E59" i="16"/>
  <c r="E60"/>
  <c r="E57"/>
  <c r="E54"/>
  <c r="B67" s="1"/>
  <c r="E55"/>
  <c r="E56"/>
  <c r="E58"/>
  <c r="D39" i="12" l="1"/>
  <c r="D43"/>
  <c r="D41"/>
  <c r="C55"/>
  <c r="G50"/>
  <c r="G61"/>
  <c r="B69" i="16"/>
  <c r="B15" i="26" s="1"/>
  <c r="C25" s="1"/>
  <c r="B73" i="16"/>
  <c r="B19" i="26" s="1"/>
  <c r="G51" i="12"/>
  <c r="D38"/>
  <c r="G53"/>
  <c r="F60"/>
  <c r="G49"/>
  <c r="G58"/>
  <c r="F57"/>
  <c r="F53"/>
  <c r="C54"/>
  <c r="F62"/>
  <c r="F49"/>
  <c r="G57"/>
  <c r="G62"/>
  <c r="G59"/>
  <c r="C49"/>
  <c r="E52"/>
  <c r="E55"/>
  <c r="E61"/>
  <c r="E62"/>
  <c r="G60"/>
  <c r="G54"/>
  <c r="G48"/>
  <c r="G55"/>
  <c r="G56"/>
  <c r="G52"/>
  <c r="E49"/>
  <c r="E59"/>
  <c r="E56"/>
  <c r="E50"/>
  <c r="D40"/>
  <c r="F48"/>
  <c r="F56"/>
  <c r="F55"/>
  <c r="F51"/>
  <c r="F59"/>
  <c r="B72" i="16"/>
  <c r="B18" i="26" s="1"/>
  <c r="F52" i="12"/>
  <c r="F61"/>
  <c r="F50"/>
  <c r="F58"/>
  <c r="B71" i="16"/>
  <c r="B17" i="26" s="1"/>
  <c r="B68" i="16"/>
  <c r="B14" i="26" s="1"/>
  <c r="C24" s="1"/>
  <c r="E53" i="12"/>
  <c r="E51"/>
  <c r="E54"/>
  <c r="E60"/>
  <c r="E57"/>
  <c r="E58"/>
  <c r="E48"/>
  <c r="D37"/>
  <c r="D46" s="1"/>
  <c r="D49" s="1"/>
  <c r="B70" i="16"/>
  <c r="B16" i="26" s="1"/>
  <c r="D42" i="12"/>
  <c r="C51"/>
  <c r="C53"/>
  <c r="C59"/>
  <c r="C61"/>
  <c r="C60"/>
  <c r="C48"/>
  <c r="C57"/>
  <c r="C52"/>
  <c r="C58"/>
  <c r="C56"/>
  <c r="C62"/>
  <c r="C8" i="29"/>
  <c r="C10"/>
  <c r="C7"/>
  <c r="C15"/>
  <c r="B13" i="26"/>
  <c r="C14" i="29"/>
  <c r="C11"/>
  <c r="C13"/>
  <c r="C16"/>
  <c r="C9"/>
  <c r="C12"/>
  <c r="D51" i="12" l="1"/>
  <c r="D25" i="26"/>
  <c r="D55" i="12"/>
  <c r="D54"/>
  <c r="D57"/>
  <c r="D53"/>
  <c r="D48"/>
  <c r="D58"/>
  <c r="D24" i="26"/>
  <c r="D50" i="12"/>
  <c r="D60"/>
  <c r="D59"/>
  <c r="D52"/>
  <c r="D62"/>
  <c r="D56"/>
  <c r="D61"/>
  <c r="C23" i="26"/>
  <c r="D23"/>
  <c r="D26" l="1"/>
</calcChain>
</file>

<file path=xl/sharedStrings.xml><?xml version="1.0" encoding="utf-8"?>
<sst xmlns="http://schemas.openxmlformats.org/spreadsheetml/2006/main" count="1365" uniqueCount="368">
  <si>
    <t>NERC:</t>
  </si>
  <si>
    <t>MRO</t>
  </si>
  <si>
    <t>Capacity (MW):</t>
  </si>
  <si>
    <t>Net Generation (MWh):</t>
  </si>
  <si>
    <t>Heat Input (MMBtu):</t>
  </si>
  <si>
    <t>Pollutant</t>
  </si>
  <si>
    <t>Emissions</t>
  </si>
  <si>
    <t>Units</t>
  </si>
  <si>
    <t>Output Emission Rates</t>
  </si>
  <si>
    <t>Input Emission Rates</t>
  </si>
  <si>
    <t>tons</t>
  </si>
  <si>
    <t>lb/MWh</t>
  </si>
  <si>
    <t>lb/MMBtu</t>
  </si>
  <si>
    <t>lbs</t>
  </si>
  <si>
    <t>lb/GWh</t>
  </si>
  <si>
    <t>lb/BBtu</t>
  </si>
  <si>
    <t>N/A</t>
  </si>
  <si>
    <r>
      <t xml:space="preserve">eGRID Subregion: </t>
    </r>
    <r>
      <rPr>
        <b/>
        <sz val="10"/>
        <color indexed="8"/>
        <rFont val="Calibri"/>
        <family val="2"/>
      </rPr>
      <t>MROE -- MRO East</t>
    </r>
  </si>
  <si>
    <r>
      <t>Annual CO</t>
    </r>
    <r>
      <rPr>
        <vertAlign val="subscript"/>
        <sz val="10"/>
        <color indexed="8"/>
        <rFont val="Calibri"/>
        <family val="2"/>
      </rPr>
      <t>2</t>
    </r>
  </si>
  <si>
    <r>
      <t>Annual SO</t>
    </r>
    <r>
      <rPr>
        <vertAlign val="subscript"/>
        <sz val="10"/>
        <color indexed="8"/>
        <rFont val="Calibri"/>
        <family val="2"/>
      </rPr>
      <t>2</t>
    </r>
  </si>
  <si>
    <r>
      <t>Annual NO</t>
    </r>
    <r>
      <rPr>
        <vertAlign val="subscript"/>
        <sz val="10"/>
        <color indexed="8"/>
        <rFont val="Calibri"/>
        <family val="2"/>
      </rPr>
      <t>x</t>
    </r>
  </si>
  <si>
    <r>
      <t>Ozone Season NO</t>
    </r>
    <r>
      <rPr>
        <vertAlign val="subscript"/>
        <sz val="10"/>
        <color indexed="8"/>
        <rFont val="Calibri"/>
        <family val="2"/>
      </rPr>
      <t>x</t>
    </r>
  </si>
  <si>
    <r>
      <t>Annual Hg</t>
    </r>
    <r>
      <rPr>
        <vertAlign val="subscript"/>
        <sz val="10"/>
        <color indexed="8"/>
        <rFont val="Calibri"/>
        <family val="2"/>
      </rPr>
      <t> </t>
    </r>
  </si>
  <si>
    <r>
      <t>Annual CH</t>
    </r>
    <r>
      <rPr>
        <vertAlign val="subscript"/>
        <sz val="10"/>
        <color indexed="8"/>
        <rFont val="Calibri"/>
        <family val="2"/>
      </rPr>
      <t>4</t>
    </r>
  </si>
  <si>
    <r>
      <t>Annual N</t>
    </r>
    <r>
      <rPr>
        <vertAlign val="subscript"/>
        <sz val="10"/>
        <color indexed="8"/>
        <rFont val="Calibri"/>
        <family val="2"/>
      </rPr>
      <t>2</t>
    </r>
    <r>
      <rPr>
        <sz val="10"/>
        <color indexed="8"/>
        <rFont val="Calibri"/>
        <family val="2"/>
      </rPr>
      <t>O</t>
    </r>
  </si>
  <si>
    <t>Coal</t>
  </si>
  <si>
    <t>Oil</t>
  </si>
  <si>
    <t>Gas</t>
  </si>
  <si>
    <t>RFC</t>
  </si>
  <si>
    <t>Nonrenewable Resource</t>
  </si>
  <si>
    <t>Fuel Mix %</t>
  </si>
  <si>
    <t>MWh</t>
  </si>
  <si>
    <t>Other Fossil</t>
  </si>
  <si>
    <t>Nuclear</t>
  </si>
  <si>
    <t>Other Unknown / Purchased Fuel</t>
  </si>
  <si>
    <t>Nonrenewable Total</t>
  </si>
  <si>
    <t>Renewable Resource</t>
  </si>
  <si>
    <t>Wind</t>
  </si>
  <si>
    <t>Solar</t>
  </si>
  <si>
    <t>Geothermal</t>
  </si>
  <si>
    <t>Biomass</t>
  </si>
  <si>
    <t>Hydro</t>
  </si>
  <si>
    <t>Renewable Total</t>
  </si>
  <si>
    <t>Nonhydro Renewable Total</t>
  </si>
  <si>
    <t>Generation Resource Mix</t>
  </si>
  <si>
    <t>Emissions Profile</t>
  </si>
  <si>
    <t>Combustion Total</t>
  </si>
  <si>
    <t>Noncombustion Total</t>
  </si>
  <si>
    <r>
      <t xml:space="preserve">eGRID Subregion: </t>
    </r>
    <r>
      <rPr>
        <b/>
        <sz val="12"/>
        <color indexed="8"/>
        <rFont val="Arial"/>
        <family val="2"/>
      </rPr>
      <t>RFCW -- RFC West</t>
    </r>
  </si>
  <si>
    <t>NPCC</t>
  </si>
  <si>
    <r>
      <t xml:space="preserve">eGRID Subregion: </t>
    </r>
    <r>
      <rPr>
        <b/>
        <sz val="10"/>
        <color indexed="8"/>
        <rFont val="Calibri"/>
        <family val="2"/>
      </rPr>
      <t>NYUP -- NPCC Upstate NY</t>
    </r>
  </si>
  <si>
    <t>MROE</t>
  </si>
  <si>
    <t>MROW</t>
  </si>
  <si>
    <t>NYUP</t>
  </si>
  <si>
    <t>RFCE</t>
  </si>
  <si>
    <t>RFCW</t>
  </si>
  <si>
    <r>
      <t xml:space="preserve">eGRID Subregion: </t>
    </r>
    <r>
      <rPr>
        <b/>
        <sz val="10"/>
        <color indexed="8"/>
        <rFont val="Calibri"/>
        <family val="2"/>
      </rPr>
      <t>MROW -- MRO West</t>
    </r>
  </si>
  <si>
    <t>Annual output emission rates for greenhouse gases (GHGs) can be used as default factors for estimating GHG emissions from electricity use when developing a carbon footprint or emission inventory Annual non-baseload output emission rates should not be used for those purposes, but can be used to estimate GHG emissions reductions from reductions in electricity use.</t>
  </si>
  <si>
    <t xml:space="preserve">Treatment Plant Size </t>
  </si>
  <si>
    <t>Unit Electricity Consumption</t>
  </si>
  <si>
    <t xml:space="preserve">1 MM gal/day (3,785 m3/d) </t>
  </si>
  <si>
    <t xml:space="preserve">5 MM gal/day (18,925 m3/d) </t>
  </si>
  <si>
    <t xml:space="preserve">10 MM gal/day (37,850 m3/d) </t>
  </si>
  <si>
    <t xml:space="preserve">20 MM gal/day (75,700 m3/d) </t>
  </si>
  <si>
    <t xml:space="preserve">50 MM gal/day (189,250 m3/d) </t>
  </si>
  <si>
    <t xml:space="preserve">100 MM gal/day (378,500 m3/d) </t>
  </si>
  <si>
    <t>kWh/MM gal (0.392 kWh/m3)</t>
  </si>
  <si>
    <t>kWh/MM gal (0.375 kWh/m3)</t>
  </si>
  <si>
    <t>kWh/MM gal (0.371 kWh/m3)</t>
  </si>
  <si>
    <t>kWh/MM gal (0.372 kWh/m3)</t>
  </si>
  <si>
    <t>Non-baseload Output Emission Rates</t>
  </si>
  <si>
    <t>Combustion Output Emission Rates</t>
  </si>
  <si>
    <r>
      <t>Annual CO</t>
    </r>
    <r>
      <rPr>
        <vertAlign val="subscript"/>
        <sz val="12"/>
        <color indexed="8"/>
        <rFont val="Arial"/>
        <family val="2"/>
      </rPr>
      <t>2</t>
    </r>
  </si>
  <si>
    <r>
      <t>Annual SO</t>
    </r>
    <r>
      <rPr>
        <vertAlign val="subscript"/>
        <sz val="12"/>
        <color indexed="8"/>
        <rFont val="Arial"/>
        <family val="2"/>
      </rPr>
      <t>2</t>
    </r>
  </si>
  <si>
    <r>
      <t>Annual NO</t>
    </r>
    <r>
      <rPr>
        <vertAlign val="subscript"/>
        <sz val="12"/>
        <color indexed="8"/>
        <rFont val="Arial"/>
        <family val="2"/>
      </rPr>
      <t>x</t>
    </r>
  </si>
  <si>
    <r>
      <t>Ozone Season NO</t>
    </r>
    <r>
      <rPr>
        <vertAlign val="subscript"/>
        <sz val="12"/>
        <color indexed="8"/>
        <rFont val="Arial"/>
        <family val="2"/>
      </rPr>
      <t>x</t>
    </r>
  </si>
  <si>
    <r>
      <t>Annual Hg</t>
    </r>
    <r>
      <rPr>
        <vertAlign val="subscript"/>
        <sz val="12"/>
        <color indexed="8"/>
        <rFont val="Arial"/>
        <family val="2"/>
      </rPr>
      <t> </t>
    </r>
  </si>
  <si>
    <r>
      <t>Annual CH</t>
    </r>
    <r>
      <rPr>
        <vertAlign val="subscript"/>
        <sz val="12"/>
        <color indexed="8"/>
        <rFont val="Arial"/>
        <family val="2"/>
      </rPr>
      <t>4</t>
    </r>
  </si>
  <si>
    <r>
      <t>Annual N</t>
    </r>
    <r>
      <rPr>
        <vertAlign val="subscript"/>
        <sz val="12"/>
        <color indexed="8"/>
        <rFont val="Arial"/>
        <family val="2"/>
      </rPr>
      <t>2</t>
    </r>
    <r>
      <rPr>
        <sz val="12"/>
        <color indexed="8"/>
        <rFont val="Arial"/>
        <family val="2"/>
      </rPr>
      <t>O</t>
    </r>
  </si>
  <si>
    <t>Electricity Used per 1 MM Gallons</t>
  </si>
  <si>
    <t>RFCM - Michigan</t>
  </si>
  <si>
    <t>RFCW - IL, OH, IN</t>
  </si>
  <si>
    <t>NYUP - NY</t>
  </si>
  <si>
    <t>MROW- MN</t>
  </si>
  <si>
    <r>
      <t>Annual CO</t>
    </r>
    <r>
      <rPr>
        <b/>
        <vertAlign val="subscript"/>
        <sz val="12"/>
        <color indexed="8"/>
        <rFont val="Arial"/>
        <family val="2"/>
      </rPr>
      <t>2</t>
    </r>
  </si>
  <si>
    <r>
      <t>Annual SO</t>
    </r>
    <r>
      <rPr>
        <b/>
        <vertAlign val="subscript"/>
        <sz val="12"/>
        <color indexed="8"/>
        <rFont val="Arial"/>
        <family val="2"/>
      </rPr>
      <t>2</t>
    </r>
  </si>
  <si>
    <r>
      <t>Annual NO</t>
    </r>
    <r>
      <rPr>
        <b/>
        <vertAlign val="subscript"/>
        <sz val="12"/>
        <color indexed="8"/>
        <rFont val="Arial"/>
        <family val="2"/>
      </rPr>
      <t>x</t>
    </r>
  </si>
  <si>
    <r>
      <t>Ozone Season NO</t>
    </r>
    <r>
      <rPr>
        <b/>
        <vertAlign val="subscript"/>
        <sz val="12"/>
        <color indexed="8"/>
        <rFont val="Arial"/>
        <family val="2"/>
      </rPr>
      <t>x</t>
    </r>
  </si>
  <si>
    <r>
      <t>Annual Hg</t>
    </r>
    <r>
      <rPr>
        <b/>
        <vertAlign val="subscript"/>
        <sz val="12"/>
        <color indexed="8"/>
        <rFont val="Arial"/>
        <family val="2"/>
      </rPr>
      <t> </t>
    </r>
  </si>
  <si>
    <r>
      <t>Annual CH</t>
    </r>
    <r>
      <rPr>
        <b/>
        <vertAlign val="subscript"/>
        <sz val="12"/>
        <color indexed="8"/>
        <rFont val="Arial"/>
        <family val="2"/>
      </rPr>
      <t>4</t>
    </r>
  </si>
  <si>
    <r>
      <t>Annual N</t>
    </r>
    <r>
      <rPr>
        <b/>
        <vertAlign val="subscript"/>
        <sz val="12"/>
        <color indexed="8"/>
        <rFont val="Arial"/>
        <family val="2"/>
      </rPr>
      <t>2</t>
    </r>
    <r>
      <rPr>
        <b/>
        <sz val="12"/>
        <color indexed="8"/>
        <rFont val="Arial"/>
        <family val="2"/>
      </rPr>
      <t>O</t>
    </r>
  </si>
  <si>
    <t>Pounds of Pollutants Prevented per Year if Water Conservation Linked to Reductions in Electrical Reductions</t>
  </si>
  <si>
    <t>DRAFT</t>
  </si>
  <si>
    <t>MROE -Wisconsin and Michigan Upper Peninsula</t>
  </si>
  <si>
    <t>Estimated Daily Water Use Reduction (in gallons)</t>
  </si>
  <si>
    <t>Water System</t>
  </si>
  <si>
    <t>Wastewater Treatment System</t>
  </si>
  <si>
    <t>Electrical Use for Water System</t>
  </si>
  <si>
    <t xml:space="preserve">Average Kilowatt Hours Per Million Gallons </t>
  </si>
  <si>
    <t>Total Carbon Savings Related to Water Conservation Program</t>
  </si>
  <si>
    <t>Water Utility System Greenhouse Gas Reductions</t>
  </si>
  <si>
    <t>Wastewater System Greenhouse Gas Reductions</t>
  </si>
  <si>
    <t>Price per Ton</t>
  </si>
  <si>
    <t>Toilet Change out Program</t>
  </si>
  <si>
    <t>Total Gallons Saved Annually</t>
  </si>
  <si>
    <t>Showerhead Replacement Program</t>
  </si>
  <si>
    <t>Amount in Gallons Saved Daily</t>
  </si>
  <si>
    <t>Metric Tons of Carbon</t>
  </si>
  <si>
    <t>Annual Pounds of Pollutants Generated Related to Water Use</t>
  </si>
  <si>
    <t xml:space="preserve">Water Utility System </t>
  </si>
  <si>
    <t>Leak Detection</t>
  </si>
  <si>
    <t>Electrical Use for Water and Wastewater Treatment</t>
  </si>
  <si>
    <t>Inflow &amp; Infiltration Reduction Opportunities</t>
  </si>
  <si>
    <t>How many people does your utility serve?</t>
  </si>
  <si>
    <t>What is the average household size in your service area?</t>
  </si>
  <si>
    <t>Average daily water withdrawn</t>
  </si>
  <si>
    <t>Average daily water distributed to customers</t>
  </si>
  <si>
    <t>Amount in Millions of Gallons</t>
  </si>
  <si>
    <t>Total Annual Reduced Water Pumping in Gallons</t>
  </si>
  <si>
    <t>Total Reduced Annual Wastewater Treatment in Gallons</t>
  </si>
  <si>
    <t xml:space="preserve">Estimated Annual Water Use </t>
  </si>
  <si>
    <t>Reduced amount of water that would be withdrawn daily as a result of the programs (on average)?</t>
  </si>
  <si>
    <t>Reduced amount of wastewater that would need to be treated daily (on average) as a result of this programs?</t>
  </si>
  <si>
    <t>Total volume of water withdrawn for water use</t>
  </si>
  <si>
    <t>Total volume of wastewater treated and discharged</t>
  </si>
  <si>
    <t>By what percentage would you like to reduce outdoor water use?</t>
  </si>
  <si>
    <t>Per capita water use per day</t>
  </si>
  <si>
    <t>What percentage water loss would you like to achieve?</t>
  </si>
  <si>
    <t>Outdoor Water Use</t>
  </si>
  <si>
    <t>Water Use and Wastewater Treatment Information</t>
  </si>
  <si>
    <t>Overview Information</t>
  </si>
  <si>
    <t>Totals</t>
  </si>
  <si>
    <t>RCFM</t>
  </si>
  <si>
    <t>eGrid Region</t>
  </si>
  <si>
    <t>What is the average rate charged per kWH for electricity at the wastewater utility?</t>
  </si>
  <si>
    <t>What is the average rate charged per kWH for electricity at the water utility?</t>
  </si>
  <si>
    <t>Annual Pounds of Pollution Emitted Related to Wastewater Treatment</t>
  </si>
  <si>
    <t>Emissions Reductions Resulting from Water Conservation Activities</t>
  </si>
  <si>
    <t>How many kWH were used for the wastewater treatment during the year?</t>
  </si>
  <si>
    <t>Pounds Reduced</t>
  </si>
  <si>
    <t>Pounds Generated</t>
  </si>
  <si>
    <t>Fossil Fuel Output Emission Rates</t>
  </si>
  <si>
    <t>Fossil Fuel Input Emission Rates</t>
  </si>
  <si>
    <t>Fossil Fuel</t>
  </si>
  <si>
    <r>
      <t xml:space="preserve">eGRID Subregion: </t>
    </r>
    <r>
      <rPr>
        <b/>
        <sz val="10"/>
        <color theme="1"/>
        <rFont val="Calibri"/>
        <family val="2"/>
        <scheme val="minor"/>
      </rPr>
      <t>RFCE -- RFC East</t>
    </r>
  </si>
  <si>
    <r>
      <t>Annual CO</t>
    </r>
    <r>
      <rPr>
        <vertAlign val="subscript"/>
        <sz val="10"/>
        <color theme="1"/>
        <rFont val="Calibri"/>
        <family val="2"/>
        <scheme val="minor"/>
      </rPr>
      <t>2</t>
    </r>
  </si>
  <si>
    <r>
      <t>Annual SO</t>
    </r>
    <r>
      <rPr>
        <vertAlign val="subscript"/>
        <sz val="10"/>
        <color theme="1"/>
        <rFont val="Calibri"/>
        <family val="2"/>
        <scheme val="minor"/>
      </rPr>
      <t>2</t>
    </r>
  </si>
  <si>
    <r>
      <t>Annual NO</t>
    </r>
    <r>
      <rPr>
        <vertAlign val="subscript"/>
        <sz val="10"/>
        <color theme="1"/>
        <rFont val="Calibri"/>
        <family val="2"/>
        <scheme val="minor"/>
      </rPr>
      <t>x</t>
    </r>
  </si>
  <si>
    <r>
      <t>Ozone Season NO</t>
    </r>
    <r>
      <rPr>
        <vertAlign val="subscript"/>
        <sz val="10"/>
        <color theme="1"/>
        <rFont val="Calibri"/>
        <family val="2"/>
        <scheme val="minor"/>
      </rPr>
      <t>x</t>
    </r>
  </si>
  <si>
    <r>
      <t>Annual Hg</t>
    </r>
    <r>
      <rPr>
        <vertAlign val="subscript"/>
        <sz val="10"/>
        <color theme="1"/>
        <rFont val="Calibri"/>
        <family val="2"/>
        <scheme val="minor"/>
      </rPr>
      <t> </t>
    </r>
  </si>
  <si>
    <r>
      <t>Annual CH</t>
    </r>
    <r>
      <rPr>
        <vertAlign val="subscript"/>
        <sz val="10"/>
        <color theme="1"/>
        <rFont val="Calibri"/>
        <family val="2"/>
        <scheme val="minor"/>
      </rPr>
      <t>4</t>
    </r>
  </si>
  <si>
    <r>
      <t>Annual N</t>
    </r>
    <r>
      <rPr>
        <vertAlign val="subscript"/>
        <sz val="10"/>
        <color theme="1"/>
        <rFont val="Calibri"/>
        <family val="2"/>
        <scheme val="minor"/>
      </rPr>
      <t>2</t>
    </r>
    <r>
      <rPr>
        <sz val="10"/>
        <color theme="1"/>
        <rFont val="Calibri"/>
        <family val="2"/>
        <scheme val="minor"/>
      </rPr>
      <t>O</t>
    </r>
  </si>
  <si>
    <r>
      <t>Annual CO</t>
    </r>
    <r>
      <rPr>
        <vertAlign val="subscript"/>
        <sz val="10"/>
        <color indexed="8"/>
        <rFont val="Calibri"/>
        <family val="2"/>
        <scheme val="minor"/>
      </rPr>
      <t>2</t>
    </r>
  </si>
  <si>
    <r>
      <t>Annual SO</t>
    </r>
    <r>
      <rPr>
        <vertAlign val="subscript"/>
        <sz val="10"/>
        <color indexed="8"/>
        <rFont val="Calibri"/>
        <family val="2"/>
        <scheme val="minor"/>
      </rPr>
      <t>2</t>
    </r>
  </si>
  <si>
    <r>
      <t>Annual NO</t>
    </r>
    <r>
      <rPr>
        <vertAlign val="subscript"/>
        <sz val="10"/>
        <color indexed="8"/>
        <rFont val="Calibri"/>
        <family val="2"/>
        <scheme val="minor"/>
      </rPr>
      <t>x</t>
    </r>
  </si>
  <si>
    <r>
      <t>Ozone Season NO</t>
    </r>
    <r>
      <rPr>
        <vertAlign val="subscript"/>
        <sz val="10"/>
        <color indexed="8"/>
        <rFont val="Calibri"/>
        <family val="2"/>
        <scheme val="minor"/>
      </rPr>
      <t>x</t>
    </r>
  </si>
  <si>
    <r>
      <t>Annual Hg</t>
    </r>
    <r>
      <rPr>
        <vertAlign val="subscript"/>
        <sz val="10"/>
        <color indexed="8"/>
        <rFont val="Calibri"/>
        <family val="2"/>
        <scheme val="minor"/>
      </rPr>
      <t> </t>
    </r>
  </si>
  <si>
    <r>
      <t>Annual CH</t>
    </r>
    <r>
      <rPr>
        <vertAlign val="subscript"/>
        <sz val="10"/>
        <color indexed="8"/>
        <rFont val="Calibri"/>
        <family val="2"/>
        <scheme val="minor"/>
      </rPr>
      <t>4</t>
    </r>
  </si>
  <si>
    <r>
      <t>Annual N</t>
    </r>
    <r>
      <rPr>
        <vertAlign val="subscript"/>
        <sz val="10"/>
        <color indexed="8"/>
        <rFont val="Calibri"/>
        <family val="2"/>
        <scheme val="minor"/>
      </rPr>
      <t>2</t>
    </r>
    <r>
      <rPr>
        <sz val="10"/>
        <color indexed="8"/>
        <rFont val="Calibri"/>
        <family val="2"/>
        <scheme val="minor"/>
      </rPr>
      <t>O</t>
    </r>
  </si>
  <si>
    <t>RFCE- PA</t>
  </si>
  <si>
    <t>Outdoor watering season daily water use</t>
  </si>
  <si>
    <t>Winter base rate daily water use</t>
  </si>
  <si>
    <t>Annual water lost due to leaks in the water distribution system</t>
  </si>
  <si>
    <t>How many kWH were used for water withdrawal and treatment during the year?</t>
  </si>
  <si>
    <t>Related to Wastewater Treatment</t>
  </si>
  <si>
    <t>Affecting Wastewater Treatment</t>
  </si>
  <si>
    <t>Affecting Water Withdrawals and Use</t>
  </si>
  <si>
    <t xml:space="preserve">Related to Water Use Conservation </t>
  </si>
  <si>
    <t>Related to Water Use</t>
  </si>
  <si>
    <t xml:space="preserve">Annual Pounds of Pollutants Emitted </t>
  </si>
  <si>
    <t xml:space="preserve">Annual Pounds of Pollution Emitted </t>
  </si>
  <si>
    <t>Value of Credits</t>
  </si>
  <si>
    <t>Value of Carbon Credits</t>
  </si>
  <si>
    <t>Related to Water Conservation</t>
  </si>
  <si>
    <t xml:space="preserve">Related to Water Conservation </t>
  </si>
  <si>
    <t>Annual Reduction of Emissions</t>
  </si>
  <si>
    <t>Annual extra wastewater treated and water distributed</t>
  </si>
  <si>
    <t>Total Annual Pounds of Pollution</t>
  </si>
  <si>
    <t>Total Annual Reduction of Emissions</t>
  </si>
  <si>
    <t>Activities</t>
  </si>
  <si>
    <t xml:space="preserve">Related to Water and </t>
  </si>
  <si>
    <t>Wastewater Treatment</t>
  </si>
  <si>
    <t>Total water use reduction based on target water use reduction</t>
  </si>
  <si>
    <t>What is your service area's total water use October-March</t>
  </si>
  <si>
    <t>What is your service area's total water use April-September</t>
  </si>
  <si>
    <t>Tons</t>
  </si>
  <si>
    <t>Total Value</t>
  </si>
  <si>
    <t>Total</t>
  </si>
  <si>
    <t>Potental annual kWh savings</t>
  </si>
  <si>
    <t>Gallons</t>
  </si>
  <si>
    <t>kWh</t>
  </si>
  <si>
    <t>Related to Water Conservation Activities</t>
  </si>
  <si>
    <t>Estimated kWh Reductions</t>
  </si>
  <si>
    <t>Estimated annual savings in electrical use</t>
  </si>
  <si>
    <t>Estimated kWh Reductions related to water use and distribution</t>
  </si>
  <si>
    <t>Estimated kWh Reductions related to wastewater treatment and discharge</t>
  </si>
  <si>
    <t>Total Estimated annual savings in electrical use</t>
  </si>
  <si>
    <t>and Estimated Values of Carbon Credits Related to Water Conservation</t>
  </si>
  <si>
    <t>Estimated Total Annual Water Savings</t>
  </si>
  <si>
    <t>Estimated annual monetary savings from reduced electrical use</t>
  </si>
  <si>
    <t>Total Annual Reduced Water Pumping</t>
  </si>
  <si>
    <t>2009 Pounds of Pollution Emitted Related to Wastewater Treatment</t>
  </si>
  <si>
    <t xml:space="preserve">Wastewater System </t>
  </si>
  <si>
    <t>2009 Pounds of Pollutants Generated Related to Water Use</t>
  </si>
  <si>
    <t>2008 Pounds of Pollution Emitted Related to Wastewater Treatment</t>
  </si>
  <si>
    <t>2008 Pounds of Pollutants Generated Related to Water Use</t>
  </si>
  <si>
    <t>2007 Pounds of Pollution Emitted Related to Wastewater Treatment</t>
  </si>
  <si>
    <t>2007 Pounds of Pollutants Generated Related to Water Use</t>
  </si>
  <si>
    <t>2006 Pounds of Pollution Emitted Related to Wastewater Treatment</t>
  </si>
  <si>
    <t>2006 Pounds of Pollutants Generated Related to Water Use</t>
  </si>
  <si>
    <t>kWH</t>
  </si>
  <si>
    <t>Electrical Use for Wastewater Treated</t>
  </si>
  <si>
    <t>Electrical Use for Water Pumped</t>
  </si>
  <si>
    <t>Pollutants Generated Related to Water Use (lbs)</t>
  </si>
  <si>
    <t>Emissions From Wastewater Treatment and Discharge</t>
  </si>
  <si>
    <t>(gal)</t>
  </si>
  <si>
    <t>Wastewater Treated</t>
  </si>
  <si>
    <t>Water Usage</t>
  </si>
  <si>
    <t>Emissions from Pumpage of Source Water</t>
  </si>
  <si>
    <t>How much electricity was used treat wastewater in Year 2</t>
  </si>
  <si>
    <t>How much electricity was used treat wastewater in Year 3</t>
  </si>
  <si>
    <t>How much electricity was used treat wastewater in Year 4</t>
  </si>
  <si>
    <t>How much water was withdrawn for Year 2</t>
  </si>
  <si>
    <t>How much water was withdrawn for Year 3</t>
  </si>
  <si>
    <t>How much water was withdrawn for Year 4</t>
  </si>
  <si>
    <t>How much wastewater was treated for Year 1</t>
  </si>
  <si>
    <t>How much wastewater was treated for Year 2</t>
  </si>
  <si>
    <t>How much wastewater was treated for Year 3</t>
  </si>
  <si>
    <t>How much wastewater was treated for Year 4</t>
  </si>
  <si>
    <t>How much electricity was used to pump sourcewater in Year 1</t>
  </si>
  <si>
    <t>How much electricity was used to pump sourcewater in Year 2</t>
  </si>
  <si>
    <t>How much electricity was used to pump sourcewater in Year 3</t>
  </si>
  <si>
    <t>How much electricity was used to pump sourcewater in Year 4</t>
  </si>
  <si>
    <t>How much electricity was used treat wastewater in Year 1</t>
  </si>
  <si>
    <t>How much water was withdrawn for Year 1</t>
  </si>
  <si>
    <t>Pollutants Generated Related to Wastewater Treatment (lbs)</t>
  </si>
  <si>
    <t>Pollutants Generated Related to Water Withdrawal and Wastewater Treatment (lbs)</t>
  </si>
  <si>
    <t>By what percentage would you like to reduce inflow and infiltration?</t>
  </si>
  <si>
    <t>How many 3.5 gpf Toilets would be replaced with high efficiency (1.28 gpf) toilets?</t>
  </si>
  <si>
    <t>How many 1.6 gpf toilets would be replaced with high efficiency (1.28 gpf) toilets?</t>
  </si>
  <si>
    <t>Estimated Total Gallons Saved Annually</t>
  </si>
  <si>
    <t>Conservation Opportunities</t>
  </si>
  <si>
    <t>Water and Wastewater Utilities  Overview</t>
  </si>
  <si>
    <t>Estimated Inflow &amp; Infiltration Percentage Before Reductions</t>
  </si>
  <si>
    <t>Estimated Inflow &amp; Infiltration Percentage After Reductions</t>
  </si>
  <si>
    <t>Leak Detection and Repair of Water Distribution System</t>
  </si>
  <si>
    <t xml:space="preserve">for estimating GHG emissions from electricity use when developing a carbon </t>
  </si>
  <si>
    <t>footprint or emission inventory</t>
  </si>
  <si>
    <t xml:space="preserve">These figures are based upon annual non-baseload output emission rates to estimate GHG emissions </t>
  </si>
  <si>
    <t>reductions from reductions in electricity use.</t>
  </si>
  <si>
    <t xml:space="preserve">Annual output emission rates for greenhouse gases (GHGs) are used as default factors </t>
  </si>
  <si>
    <t>Source: http://cfpub.epa.gov/egridweb/ghg.cfm</t>
  </si>
  <si>
    <t>Washing Machine Replacement Program</t>
  </si>
  <si>
    <t>Commercial and Industrial Urinal Replacement program</t>
  </si>
  <si>
    <t>Commercial Industrial Laundromat Washer Replacement Program</t>
  </si>
  <si>
    <t>How many Commercial Industrial Laundromat Washers would be replaced?</t>
  </si>
  <si>
    <t>Commercial and Industrial Water Conservation Program</t>
  </si>
  <si>
    <t>Commercial and Industrial Dishwasher Replacement Program</t>
  </si>
  <si>
    <t>How many urinals would be replaced with 1/2 gpf urinals in commercial or industrial facilities?</t>
  </si>
  <si>
    <t>How many commercial or industrial dishwashers would be replaced?</t>
  </si>
  <si>
    <t>Residential Toilet Change out Program</t>
  </si>
  <si>
    <t>Residential Showerhead Replacement Program</t>
  </si>
  <si>
    <t>In which eGRID Region are you located? (See map below)</t>
  </si>
  <si>
    <t>How many low efficiency washers would be replaced with high efficiancy washers?</t>
  </si>
  <si>
    <t>How many showerheads would be replaced with low flow showerheads in single family homes?</t>
  </si>
  <si>
    <t>How many showerheads would be replaced with low flow showerheads in multi family dwellings?</t>
  </si>
  <si>
    <t>Residential Water Audits</t>
  </si>
  <si>
    <t>How many residential water audits would you perform in single family homes?</t>
  </si>
  <si>
    <t>How many residential water audits would you perform in multi family homes?</t>
  </si>
  <si>
    <t>Average daily wastewater treated and discharged</t>
  </si>
  <si>
    <t>Total Emissions</t>
  </si>
  <si>
    <t>Total Annual Reduced Wastewater Treatment</t>
  </si>
  <si>
    <r>
      <t>Annual CO</t>
    </r>
    <r>
      <rPr>
        <b/>
        <vertAlign val="subscript"/>
        <sz val="12"/>
        <color indexed="8"/>
        <rFont val="Arial"/>
        <family val="2"/>
      </rPr>
      <t>2 credits</t>
    </r>
  </si>
  <si>
    <r>
      <t>Annual SO</t>
    </r>
    <r>
      <rPr>
        <b/>
        <vertAlign val="subscript"/>
        <sz val="12"/>
        <color indexed="8"/>
        <rFont val="Arial"/>
        <family val="2"/>
      </rPr>
      <t>2 credits</t>
    </r>
  </si>
  <si>
    <t>Annual Nox Credits</t>
  </si>
  <si>
    <t xml:space="preserve">In which eGRID Region are your utilities located? </t>
  </si>
  <si>
    <t>KWh for water use, treatment, and distribution</t>
  </si>
  <si>
    <t>KWh for wastewater treatment and distribution</t>
  </si>
  <si>
    <t>Year</t>
  </si>
  <si>
    <t xml:space="preserve">How many commercial or industrial high efficiency toilets would be relplaced? </t>
  </si>
  <si>
    <t>Commercial and Industrial Toilet Replacement program</t>
  </si>
  <si>
    <t>Residential Water Audit Program</t>
  </si>
  <si>
    <t>High Efficiency Residential Washing Machine Replacement Program</t>
  </si>
  <si>
    <t>Emissions Footprint Related to Water Withdrawals and Wastewater Treatment</t>
  </si>
  <si>
    <t>What is the name of the Water and/or Wastewater Utility?</t>
  </si>
  <si>
    <t>Kitchen Food Steamer Replacement Program</t>
  </si>
  <si>
    <t>Residential Water Conservation Impacts</t>
  </si>
  <si>
    <t>Commercial Industrial Institutional Water Conservation Impacts</t>
  </si>
  <si>
    <t>Total Water Conservation Savings</t>
  </si>
  <si>
    <t>Conservation Activities Percentage of KWh Savings</t>
  </si>
  <si>
    <t>The user inputs information on proposed or implemented water conservation activities.  The information is used to estimate impact of the activities on reducing electric use and emissions related to water use.</t>
  </si>
  <si>
    <t>This worksheet uses information from the previous two worksheets to estimate the total gallons of water saved annually, KWh reductions, and the reduced costs associated with water conservation activities.  It also provides an estimate on the conservation activities' relative impacts of reducing electrical use.</t>
  </si>
  <si>
    <t>This worksheet provides information on the estimated emissions footprint of water withdrawal and wastewater treatment in a series of tables.  It then provides a series of tables that estimates the emissions values of the water conservation activities.</t>
  </si>
  <si>
    <t xml:space="preserve">This worksheet provides summary tables for the previous tables, and calculates the current values of emissions credits.  </t>
  </si>
  <si>
    <t>Input Water Use Data</t>
  </si>
  <si>
    <t>Input Conservation Options</t>
  </si>
  <si>
    <t>Output-WaterElectric Impact</t>
  </si>
  <si>
    <t>Output-Emissions Impacts</t>
  </si>
  <si>
    <t>Summary Output</t>
  </si>
  <si>
    <t>Carbon Credit Value Scenarios</t>
  </si>
  <si>
    <t>Input-Annual Water Use</t>
  </si>
  <si>
    <t>Output-Annual Emissions</t>
  </si>
  <si>
    <t xml:space="preserve">This worksheet identifies the value of emissions credits under different price scenarios.  </t>
  </si>
  <si>
    <t xml:space="preserve">The user inputs information on overall water withdrawal, and wastewater treatment volumes as well as electrical use related to the separate water withdrawal and wastewater treatment for four years.  These numbers are used to calcuate overall emissions footprints and track electrical use, and water use, and wastewater treatment.  </t>
  </si>
  <si>
    <t>Return to Overview Page</t>
  </si>
  <si>
    <t xml:space="preserve"> </t>
  </si>
  <si>
    <t>Emissions Reductions Related to Water Conservation</t>
  </si>
  <si>
    <t>Summary Report</t>
  </si>
  <si>
    <t>Under Different Pricing Scenarios</t>
  </si>
  <si>
    <t>This spreadsheet is used to calculate the emissions values for "Output-Annual Emissions" worksheet</t>
  </si>
  <si>
    <t>Reduced amount of water that would be withdrawn annually as a result of the programs (on average)?</t>
  </si>
  <si>
    <t>Reduced amount of wastewater that would need to be treated annually as a result of this programs?</t>
  </si>
  <si>
    <t>This spreadsheet is used to calculate the total emissions impacts of water conservation for "Conservation Emissions" worksheet</t>
  </si>
  <si>
    <t>This worksheet shows the calculated emissions for water and wastewater use over the four year period for whioch information is input in the "Input-Annual Water Use" worksheet.</t>
  </si>
  <si>
    <t>How many Kitchen Food Steamers would be replaced?</t>
  </si>
  <si>
    <t>Go to "Input Conservation Options" Worksheet</t>
  </si>
  <si>
    <t>Go to "A-Summary Output" Worksheet</t>
  </si>
  <si>
    <t>Go to "A-Carbon Credit Value Scenarios'</t>
  </si>
  <si>
    <t xml:space="preserve">First, it provides a tool to identify the electrical, emissions, and emissions credit values of a range of water conservation activities.  </t>
  </si>
  <si>
    <t>Go to "A-Output-WaterElectric Impact" Worksheet</t>
  </si>
  <si>
    <t>A user of the tool would input information on the number of people served by the utility, average houshold size, the amount of water drawn for supply, the amount distributed to customers, wastewater treated, and the number of kilowatt hours used to withdraw and distribute water supply, and treat and discharge wastewater, in addition to the rates per kilowatt hour charged by the local electric service provider.  All of the information is entered for use in "Tool A: Emissions Impacts of Water Conservation Strategies."  The information for the section related to electrical use, 'Electrical Use for Water and Wastewater Treatment', is not entered for Tools B and C.</t>
  </si>
  <si>
    <t>Return to 'A-Output-Emissions Impacts'</t>
  </si>
  <si>
    <t>Return to "A-Summary Output"</t>
  </si>
  <si>
    <t>Go to "A-Output-Emissions Impacts" Worksheet</t>
  </si>
  <si>
    <t>Return to"A-Output WaterElectric Impact" Worksheet</t>
  </si>
  <si>
    <t>Return to "A-Input Conservation Options" Worksheet</t>
  </si>
  <si>
    <t>Return to "A-Input Water Use Data" Worksheet</t>
  </si>
  <si>
    <t>Tool C: Emissions Values and Electrical Use Over Multiple Years</t>
  </si>
  <si>
    <t>Information that must be input for this section include:</t>
  </si>
  <si>
    <t>* How many people does your utility serve?</t>
  </si>
  <si>
    <t>* What is the average household size in your service area?</t>
  </si>
  <si>
    <t>* How much water is withdrawn annually?</t>
  </si>
  <si>
    <t>* How much water is distributed to customers annually?</t>
  </si>
  <si>
    <t>* What is your total annual wastewater treated</t>
  </si>
  <si>
    <t>* How many kWH were used for water withdrawal and treatment during the year?</t>
  </si>
  <si>
    <t>* How many kWH were used for the wastewater treatment during the year?</t>
  </si>
  <si>
    <t>* What is the average rate charged per kWH for electricity at the water utility?</t>
  </si>
  <si>
    <t>* What is the average rate charged per kWH for electricity at the wastewater utility?</t>
  </si>
  <si>
    <t>Inflow &amp; Infiltration (I &amp; I) Reduction Opportunities</t>
  </si>
  <si>
    <t>Excess water that flows sewer pipes from groundwater (through faults in sewer pipes) and stormwater (from downspouts, cross-connections, or manhole covers) is called infiltration and inflow.  Combined sanitary and storm sewer systems also increase this %.  This section asks you to identify a percentage by which you would like to reduce I &amp; I.</t>
  </si>
  <si>
    <t xml:space="preserve">Percentage more wastewater treated than water distributed to customers </t>
  </si>
  <si>
    <t>Estimated water loss as a result of leakage :</t>
  </si>
  <si>
    <t xml:space="preserve">Water distribution pipes are usually pressurized.  When there are faults in pipes, water can exfiltrate into the soil surrounding the pipes.  This section lets you identify the target amount of leakage you would like to achieve after calculating input from "Input Water Use Data". </t>
  </si>
  <si>
    <t>Demand Management Programs</t>
  </si>
  <si>
    <t>In the following section, please identify the number of units of the water demand management device that you have or may install as a result of a water conservation demand management program.</t>
  </si>
  <si>
    <t>Water</t>
  </si>
  <si>
    <t>Wastewater</t>
  </si>
  <si>
    <t>How much water is distributed to customers annually (in gallons)?</t>
  </si>
  <si>
    <t>What is your total annual wastewater treated (in gallons)?</t>
  </si>
  <si>
    <t>Pounds</t>
  </si>
  <si>
    <t>Estimated KWh Reductions</t>
  </si>
  <si>
    <t>How much water is withdrawn by your entity or purchased from another entity annually (in gallons)?</t>
  </si>
  <si>
    <t>Yes</t>
  </si>
  <si>
    <t>No</t>
  </si>
  <si>
    <t>KWh per million gallons for water treatment and distribution</t>
  </si>
  <si>
    <t>KWh per million gallons for wastewater treatment and discharge</t>
  </si>
  <si>
    <t>Water Conservation Activity</t>
  </si>
  <si>
    <t>* These are the number of gallons estimated saved when the specific water using device is replaced.  The number of gallons are</t>
  </si>
  <si>
    <t xml:space="preserve">The estimated reductions are calculated by multiplying the target I &amp; I reduction amount by the total amount of I &amp; I currently </t>
  </si>
  <si>
    <t>Percentage</t>
  </si>
  <si>
    <t>Annual Water Savings per Unit (in gallons)*</t>
  </si>
  <si>
    <t>Tool A: Electrical, Emissions and Emissions Value of Individual Water Conservation Activities</t>
  </si>
  <si>
    <t>Water Conservation, Emissions, and Emissions Credit Tool</t>
  </si>
  <si>
    <t>Background Data</t>
  </si>
  <si>
    <t>Overview of the Tool</t>
  </si>
  <si>
    <t xml:space="preserve">The following spreadsheet tool is intended to provide information on the electrical, and emissions, and emissions credit values of water conservation activities.  It examines the impacts of water conservation activities in two ways.  </t>
  </si>
  <si>
    <t>Second, it provides a tool to examine annual electrical use and emissions over a four year period.</t>
  </si>
  <si>
    <t>Water &amp; Wastewater Treatment Conservation Activities Impacts</t>
  </si>
</sst>
</file>

<file path=xl/styles.xml><?xml version="1.0" encoding="utf-8"?>
<styleSheet xmlns="http://schemas.openxmlformats.org/spreadsheetml/2006/main">
  <numFmts count="15">
    <numFmt numFmtId="44" formatCode="_(&quot;$&quot;* #,##0.00_);_(&quot;$&quot;* \(#,##0.00\);_(&quot;$&quot;* &quot;-&quot;??_);_(@_)"/>
    <numFmt numFmtId="43" formatCode="_(* #,##0.00_);_(* \(#,##0.00\);_(* &quot;-&quot;??_);_(@_)"/>
    <numFmt numFmtId="164" formatCode="_(* #,##0_);_(* \(#,##0\);_(* &quot;-&quot;??_);_(@_)"/>
    <numFmt numFmtId="165" formatCode="_(* #,##0.0000_);_(* \(#,##0.0000\);_(* &quot;-&quot;??_);_(@_)"/>
    <numFmt numFmtId="166" formatCode="_(* #,##0.00000_);_(* \(#,##0.00000\);_(* &quot;-&quot;??_);_(@_)"/>
    <numFmt numFmtId="167" formatCode="_(* #,##0.000000_);_(* \(#,##0.000000\);_(* &quot;-&quot;??_);_(@_)"/>
    <numFmt numFmtId="168" formatCode="_(* #,##0.0000000_);_(* \(#,##0.0000000\);_(* &quot;-&quot;??_);_(@_)"/>
    <numFmt numFmtId="169" formatCode="_(* #,##0.000_);_(* \(#,##0.000\);_(* &quot;-&quot;??_);_(@_)"/>
    <numFmt numFmtId="170" formatCode="0.00000"/>
    <numFmt numFmtId="171" formatCode="0.0000"/>
    <numFmt numFmtId="172" formatCode="_(&quot;$&quot;* #,##0_);_(&quot;$&quot;* \(#,##0\);_(&quot;$&quot;* &quot;-&quot;??_);_(@_)"/>
    <numFmt numFmtId="173" formatCode="_(* #,##0.0_);_(* \(#,##0.0\);_(* &quot;-&quot;?_);_(@_)"/>
    <numFmt numFmtId="174" formatCode="&quot;$&quot;#,##0.00"/>
    <numFmt numFmtId="175" formatCode="&quot;$&quot;#,##0"/>
    <numFmt numFmtId="176" formatCode="0.0"/>
  </numFmts>
  <fonts count="33">
    <font>
      <sz val="11"/>
      <color theme="1"/>
      <name val="Calibri"/>
      <family val="2"/>
      <scheme val="minor"/>
    </font>
    <font>
      <sz val="12"/>
      <color indexed="8"/>
      <name val="Arial"/>
      <family val="2"/>
    </font>
    <font>
      <b/>
      <sz val="12"/>
      <color indexed="8"/>
      <name val="Arial"/>
      <family val="2"/>
    </font>
    <font>
      <sz val="10"/>
      <color indexed="8"/>
      <name val="Calibri"/>
      <family val="2"/>
    </font>
    <font>
      <b/>
      <sz val="10"/>
      <color indexed="8"/>
      <name val="Calibri"/>
      <family val="2"/>
    </font>
    <font>
      <vertAlign val="subscript"/>
      <sz val="10"/>
      <color indexed="8"/>
      <name val="Calibri"/>
      <family val="2"/>
    </font>
    <font>
      <vertAlign val="subscript"/>
      <sz val="12"/>
      <color indexed="8"/>
      <name val="Arial"/>
      <family val="2"/>
    </font>
    <font>
      <b/>
      <vertAlign val="subscript"/>
      <sz val="12"/>
      <color indexed="8"/>
      <name val="Arial"/>
      <family val="2"/>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2"/>
      <color theme="1"/>
      <name val="Arial"/>
      <family val="2"/>
    </font>
    <font>
      <b/>
      <sz val="10"/>
      <color theme="1"/>
      <name val="Calibri"/>
      <family val="2"/>
      <scheme val="minor"/>
    </font>
    <font>
      <sz val="10"/>
      <color theme="1"/>
      <name val="Calibri"/>
      <family val="2"/>
      <scheme val="minor"/>
    </font>
    <font>
      <b/>
      <sz val="12"/>
      <color theme="1"/>
      <name val="Arial"/>
      <family val="2"/>
    </font>
    <font>
      <sz val="10"/>
      <color theme="1"/>
      <name val="Arial"/>
      <family val="2"/>
    </font>
    <font>
      <b/>
      <sz val="14"/>
      <color theme="1"/>
      <name val="Calibri"/>
      <family val="2"/>
      <scheme val="minor"/>
    </font>
    <font>
      <b/>
      <sz val="11"/>
      <color rgb="FFFF0000"/>
      <name val="Calibri"/>
      <family val="2"/>
      <scheme val="minor"/>
    </font>
    <font>
      <sz val="10.5"/>
      <color theme="1"/>
      <name val="Calibri"/>
      <family val="2"/>
      <scheme val="minor"/>
    </font>
    <font>
      <b/>
      <sz val="10.5"/>
      <color theme="1"/>
      <name val="Calibri"/>
      <family val="2"/>
      <scheme val="minor"/>
    </font>
    <font>
      <i/>
      <sz val="10.5"/>
      <color theme="1"/>
      <name val="Calibri"/>
      <family val="2"/>
      <scheme val="minor"/>
    </font>
    <font>
      <b/>
      <sz val="12"/>
      <color theme="1"/>
      <name val="Calibri"/>
      <family val="2"/>
      <scheme val="minor"/>
    </font>
    <font>
      <b/>
      <sz val="13"/>
      <color theme="1"/>
      <name val="Calibri"/>
      <family val="2"/>
      <scheme val="minor"/>
    </font>
    <font>
      <vertAlign val="subscript"/>
      <sz val="10"/>
      <color theme="1"/>
      <name val="Calibri"/>
      <family val="2"/>
      <scheme val="minor"/>
    </font>
    <font>
      <vertAlign val="subscript"/>
      <sz val="10"/>
      <color indexed="8"/>
      <name val="Calibri"/>
      <family val="2"/>
      <scheme val="minor"/>
    </font>
    <font>
      <sz val="10"/>
      <color indexed="8"/>
      <name val="Calibri"/>
      <family val="2"/>
      <scheme val="minor"/>
    </font>
    <font>
      <u/>
      <sz val="11"/>
      <color theme="10"/>
      <name val="Calibri"/>
      <family val="2"/>
    </font>
    <font>
      <u/>
      <sz val="10.5"/>
      <color theme="10"/>
      <name val="Calibri"/>
      <family val="2"/>
    </font>
    <font>
      <u/>
      <sz val="10"/>
      <color theme="10"/>
      <name val="Calibri"/>
      <family val="2"/>
    </font>
    <font>
      <sz val="11"/>
      <color indexed="8"/>
      <name val="Calibri"/>
      <family val="2"/>
    </font>
    <font>
      <b/>
      <sz val="12"/>
      <color indexed="8"/>
      <name val="Calibri"/>
      <family val="2"/>
    </font>
    <font>
      <b/>
      <sz val="18"/>
      <color theme="1"/>
      <name val="Calibri"/>
      <family val="2"/>
      <scheme val="minor"/>
    </font>
  </fonts>
  <fills count="26">
    <fill>
      <patternFill patternType="none"/>
    </fill>
    <fill>
      <patternFill patternType="gray125"/>
    </fill>
    <fill>
      <patternFill patternType="solid">
        <fgColor rgb="FFF2F2F2"/>
      </patternFill>
    </fill>
    <fill>
      <patternFill patternType="solid">
        <fgColor rgb="FFFFCC99"/>
      </patternFill>
    </fill>
    <fill>
      <patternFill patternType="solid">
        <fgColor rgb="FFFFFFFF"/>
        <bgColor indexed="64"/>
      </patternFill>
    </fill>
    <fill>
      <patternFill patternType="solid">
        <fgColor rgb="FFDDDDDD"/>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CCCC00"/>
        <bgColor indexed="64"/>
      </patternFill>
    </fill>
    <fill>
      <patternFill patternType="solid">
        <fgColor theme="4"/>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99FF99"/>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right/>
      <top/>
      <bottom style="medium">
        <color rgb="FFAAAAAA"/>
      </bottom>
      <diagonal/>
    </border>
    <border>
      <left/>
      <right/>
      <top/>
      <bottom style="medium">
        <color rgb="FF62C3EF"/>
      </bottom>
      <diagonal/>
    </border>
    <border>
      <left/>
      <right/>
      <top style="medium">
        <color rgb="FFAAAAAA"/>
      </top>
      <bottom/>
      <diagonal/>
    </border>
    <border>
      <left/>
      <right style="thin">
        <color rgb="FF3F3F3F"/>
      </right>
      <top style="thin">
        <color rgb="FF3F3F3F"/>
      </top>
      <bottom style="thin">
        <color rgb="FF3F3F3F"/>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style="thin">
        <color rgb="FFFF0000"/>
      </left>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3F3F3F"/>
      </left>
      <right style="thin">
        <color rgb="FFFF0000"/>
      </right>
      <top style="thin">
        <color rgb="FF3F3F3F"/>
      </top>
      <bottom style="thin">
        <color rgb="FF3F3F3F"/>
      </bottom>
      <diagonal/>
    </border>
    <border>
      <left style="thin">
        <color rgb="FFFF0000"/>
      </left>
      <right style="thin">
        <color indexed="64"/>
      </right>
      <top style="thin">
        <color indexed="64"/>
      </top>
      <bottom style="thin">
        <color rgb="FFFF0000"/>
      </bottom>
      <diagonal/>
    </border>
    <border>
      <left/>
      <right style="thin">
        <color rgb="FF3F3F3F"/>
      </right>
      <top style="thin">
        <color rgb="FF3F3F3F"/>
      </top>
      <bottom style="thin">
        <color rgb="FFFF0000"/>
      </bottom>
      <diagonal/>
    </border>
    <border>
      <left style="thin">
        <color rgb="FF3F3F3F"/>
      </left>
      <right style="thin">
        <color rgb="FF3F3F3F"/>
      </right>
      <top style="thin">
        <color rgb="FF3F3F3F"/>
      </top>
      <bottom style="thin">
        <color rgb="FFFF0000"/>
      </bottom>
      <diagonal/>
    </border>
    <border>
      <left style="thin">
        <color rgb="FF3F3F3F"/>
      </left>
      <right style="thin">
        <color rgb="FFFF0000"/>
      </right>
      <top style="thin">
        <color rgb="FF3F3F3F"/>
      </top>
      <bottom style="thin">
        <color rgb="FFFF0000"/>
      </bottom>
      <diagonal/>
    </border>
    <border>
      <left/>
      <right/>
      <top style="thin">
        <color rgb="FFFF0000"/>
      </top>
      <bottom/>
      <diagonal/>
    </border>
    <border>
      <left/>
      <right style="thin">
        <color rgb="FFFF0000"/>
      </right>
      <top style="thin">
        <color rgb="FFFF0000"/>
      </top>
      <bottom/>
      <diagonal/>
    </border>
    <border>
      <left/>
      <right style="medium">
        <color rgb="FFCCCCFF"/>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8" fillId="0" borderId="0" applyFont="0" applyFill="0" applyBorder="0" applyAlignment="0" applyProtection="0"/>
    <xf numFmtId="44" fontId="8" fillId="0" borderId="0" applyFont="0" applyFill="0" applyBorder="0" applyAlignment="0" applyProtection="0"/>
    <xf numFmtId="0" fontId="10" fillId="2" borderId="13" applyNumberFormat="0" applyAlignment="0" applyProtection="0"/>
    <xf numFmtId="9" fontId="8" fillId="0" borderId="0" applyFont="0" applyFill="0" applyBorder="0" applyAlignment="0" applyProtection="0"/>
    <xf numFmtId="0" fontId="27" fillId="0" borderId="0" applyNumberFormat="0" applyFill="0" applyBorder="0" applyAlignment="0" applyProtection="0">
      <alignment vertical="top"/>
      <protection locked="0"/>
    </xf>
    <xf numFmtId="9"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cellStyleXfs>
  <cellXfs count="330">
    <xf numFmtId="0" fontId="0" fillId="0" borderId="0" xfId="0"/>
    <xf numFmtId="0" fontId="12" fillId="0" borderId="14" xfId="0" applyFont="1" applyBorder="1" applyAlignment="1">
      <alignment horizontal="left" indent="2"/>
    </xf>
    <xf numFmtId="0" fontId="13" fillId="4" borderId="14" xfId="0" applyFont="1" applyFill="1" applyBorder="1" applyAlignment="1">
      <alignment horizontal="left" vertical="center" wrapText="1"/>
    </xf>
    <xf numFmtId="0" fontId="13" fillId="4" borderId="14" xfId="0" applyFont="1" applyFill="1" applyBorder="1" applyAlignment="1">
      <alignment horizontal="right" vertical="center" wrapText="1"/>
    </xf>
    <xf numFmtId="0" fontId="14" fillId="5" borderId="0" xfId="0" applyFont="1" applyFill="1" applyAlignment="1">
      <alignment horizontal="left" wrapText="1"/>
    </xf>
    <xf numFmtId="4" fontId="14" fillId="5" borderId="0" xfId="0" applyNumberFormat="1" applyFont="1" applyFill="1" applyAlignment="1">
      <alignment horizontal="right" wrapText="1"/>
    </xf>
    <xf numFmtId="0" fontId="14" fillId="5" borderId="0" xfId="0" applyFont="1" applyFill="1" applyAlignment="1">
      <alignment horizontal="right" wrapText="1"/>
    </xf>
    <xf numFmtId="0" fontId="14" fillId="4" borderId="0" xfId="0" applyFont="1" applyFill="1" applyAlignment="1">
      <alignment horizontal="left" wrapText="1"/>
    </xf>
    <xf numFmtId="4" fontId="14" fillId="4" borderId="0" xfId="0" applyNumberFormat="1" applyFont="1" applyFill="1" applyAlignment="1">
      <alignment horizontal="right" wrapText="1"/>
    </xf>
    <xf numFmtId="0" fontId="14" fillId="4" borderId="0" xfId="0" applyFont="1" applyFill="1" applyAlignment="1">
      <alignment horizontal="right" wrapText="1"/>
    </xf>
    <xf numFmtId="0" fontId="14" fillId="5" borderId="15" xfId="0" applyFont="1" applyFill="1" applyBorder="1" applyAlignment="1">
      <alignment horizontal="left" wrapText="1"/>
    </xf>
    <xf numFmtId="4" fontId="14" fillId="5" borderId="15" xfId="0" applyNumberFormat="1" applyFont="1" applyFill="1" applyBorder="1" applyAlignment="1">
      <alignment horizontal="right" wrapText="1"/>
    </xf>
    <xf numFmtId="0" fontId="14" fillId="5" borderId="15" xfId="0" applyFont="1" applyFill="1" applyBorder="1" applyAlignment="1">
      <alignment horizontal="right" wrapText="1"/>
    </xf>
    <xf numFmtId="0" fontId="14" fillId="4" borderId="16" xfId="0" applyFont="1" applyFill="1" applyBorder="1" applyAlignment="1">
      <alignment horizontal="left" wrapText="1"/>
    </xf>
    <xf numFmtId="0" fontId="14" fillId="4" borderId="16" xfId="0" applyFont="1" applyFill="1" applyBorder="1" applyAlignment="1">
      <alignment horizontal="right" wrapText="1"/>
    </xf>
    <xf numFmtId="4" fontId="14" fillId="4" borderId="16" xfId="0" applyNumberFormat="1" applyFont="1" applyFill="1" applyBorder="1" applyAlignment="1">
      <alignment horizontal="right" wrapText="1"/>
    </xf>
    <xf numFmtId="0" fontId="14" fillId="4" borderId="15" xfId="0" applyFont="1" applyFill="1" applyBorder="1" applyAlignment="1">
      <alignment horizontal="right" wrapText="1"/>
    </xf>
    <xf numFmtId="0" fontId="14" fillId="4" borderId="15" xfId="0" applyFont="1" applyFill="1" applyBorder="1" applyAlignment="1">
      <alignment horizontal="left" wrapText="1"/>
    </xf>
    <xf numFmtId="4" fontId="14" fillId="4" borderId="15" xfId="0" applyNumberFormat="1" applyFont="1" applyFill="1" applyBorder="1" applyAlignment="1">
      <alignment horizontal="right" wrapText="1"/>
    </xf>
    <xf numFmtId="0" fontId="14" fillId="0" borderId="14" xfId="0" applyFont="1" applyBorder="1" applyAlignment="1">
      <alignment horizontal="left" vertical="center"/>
    </xf>
    <xf numFmtId="0" fontId="14" fillId="0" borderId="0" xfId="0" applyFont="1" applyAlignment="1">
      <alignment vertical="center"/>
    </xf>
    <xf numFmtId="0" fontId="14" fillId="4" borderId="0" xfId="0" applyFont="1" applyFill="1" applyAlignment="1">
      <alignment horizontal="left" vertical="center" wrapText="1"/>
    </xf>
    <xf numFmtId="0" fontId="14" fillId="4" borderId="0" xfId="0" applyFont="1" applyFill="1" applyAlignment="1">
      <alignment horizontal="right" vertical="center" wrapText="1"/>
    </xf>
    <xf numFmtId="4" fontId="14" fillId="4" borderId="0" xfId="0" applyNumberFormat="1" applyFont="1" applyFill="1" applyAlignment="1">
      <alignment horizontal="right" vertical="center" wrapText="1"/>
    </xf>
    <xf numFmtId="0" fontId="14" fillId="4" borderId="15" xfId="0" applyFont="1" applyFill="1" applyBorder="1" applyAlignment="1">
      <alignment horizontal="left" vertical="center" wrapText="1"/>
    </xf>
    <xf numFmtId="4" fontId="14" fillId="4" borderId="15" xfId="0" applyNumberFormat="1" applyFont="1" applyFill="1" applyBorder="1" applyAlignment="1">
      <alignment horizontal="right" vertical="center" wrapText="1"/>
    </xf>
    <xf numFmtId="0" fontId="13" fillId="4" borderId="14" xfId="0" applyFont="1" applyFill="1" applyBorder="1" applyAlignment="1">
      <alignment horizontal="left" wrapText="1"/>
    </xf>
    <xf numFmtId="0" fontId="13" fillId="4" borderId="14" xfId="0" applyFont="1" applyFill="1" applyBorder="1" applyAlignment="1">
      <alignment horizontal="right" wrapText="1"/>
    </xf>
    <xf numFmtId="0" fontId="0" fillId="0" borderId="0" xfId="0" applyAlignment="1"/>
    <xf numFmtId="0" fontId="14" fillId="4" borderId="15" xfId="0" applyFont="1" applyFill="1" applyBorder="1" applyAlignment="1"/>
    <xf numFmtId="0" fontId="13" fillId="0" borderId="0" xfId="0" applyFont="1" applyAlignment="1"/>
    <xf numFmtId="0" fontId="14" fillId="0" borderId="0" xfId="0" applyFont="1" applyAlignment="1"/>
    <xf numFmtId="0" fontId="14" fillId="4" borderId="0" xfId="0" applyFont="1" applyFill="1" applyBorder="1" applyAlignment="1">
      <alignment horizontal="left" vertical="center" wrapText="1"/>
    </xf>
    <xf numFmtId="4" fontId="14" fillId="4" borderId="0" xfId="0" applyNumberFormat="1" applyFont="1" applyFill="1" applyBorder="1" applyAlignment="1">
      <alignment horizontal="right" vertical="center" wrapText="1"/>
    </xf>
    <xf numFmtId="0" fontId="14" fillId="0" borderId="0" xfId="0" applyFont="1" applyAlignment="1">
      <alignment horizontal="left"/>
    </xf>
    <xf numFmtId="0" fontId="14" fillId="4" borderId="16" xfId="0" applyFont="1" applyFill="1" applyBorder="1" applyAlignment="1">
      <alignment horizontal="left" vertical="center" wrapText="1"/>
    </xf>
    <xf numFmtId="0" fontId="14" fillId="4" borderId="16" xfId="0" applyFont="1" applyFill="1" applyBorder="1" applyAlignment="1">
      <alignment horizontal="right" vertical="center" wrapText="1"/>
    </xf>
    <xf numFmtId="4" fontId="14" fillId="4" borderId="16" xfId="0" applyNumberFormat="1" applyFont="1" applyFill="1" applyBorder="1" applyAlignment="1">
      <alignment horizontal="right" vertical="center" wrapText="1"/>
    </xf>
    <xf numFmtId="0" fontId="0" fillId="0" borderId="0" xfId="0" applyAlignment="1">
      <alignment vertical="center"/>
    </xf>
    <xf numFmtId="0" fontId="14" fillId="4" borderId="15" xfId="0" applyFont="1" applyFill="1" applyBorder="1" applyAlignment="1">
      <alignment horizontal="right" vertical="center" wrapText="1"/>
    </xf>
    <xf numFmtId="0" fontId="14" fillId="5" borderId="0" xfId="0" applyFont="1" applyFill="1" applyAlignment="1">
      <alignment horizontal="left" vertical="center" wrapText="1"/>
    </xf>
    <xf numFmtId="4" fontId="14" fillId="5" borderId="0" xfId="0" applyNumberFormat="1" applyFont="1" applyFill="1" applyAlignment="1">
      <alignment horizontal="right" vertical="center" wrapText="1"/>
    </xf>
    <xf numFmtId="0" fontId="14" fillId="5" borderId="0" xfId="0" applyFont="1" applyFill="1" applyAlignment="1">
      <alignment horizontal="right" vertical="center" wrapText="1"/>
    </xf>
    <xf numFmtId="0" fontId="14" fillId="5" borderId="15" xfId="0" applyFont="1" applyFill="1" applyBorder="1" applyAlignment="1">
      <alignment horizontal="left" vertical="center" wrapText="1"/>
    </xf>
    <xf numFmtId="4" fontId="14" fillId="5" borderId="15" xfId="0" applyNumberFormat="1" applyFont="1" applyFill="1" applyBorder="1" applyAlignment="1">
      <alignment horizontal="right" vertical="center" wrapText="1"/>
    </xf>
    <xf numFmtId="0" fontId="14" fillId="5" borderId="15" xfId="0" applyFont="1" applyFill="1" applyBorder="1" applyAlignment="1">
      <alignment horizontal="right" vertical="center" wrapText="1"/>
    </xf>
    <xf numFmtId="0" fontId="14" fillId="4" borderId="15" xfId="0" applyFont="1" applyFill="1" applyBorder="1" applyAlignment="1">
      <alignment vertical="center"/>
    </xf>
    <xf numFmtId="0" fontId="13" fillId="0" borderId="0" xfId="0" applyFont="1" applyAlignment="1">
      <alignment vertical="center"/>
    </xf>
    <xf numFmtId="0" fontId="13" fillId="4" borderId="0" xfId="0" applyFont="1" applyFill="1" applyBorder="1" applyAlignment="1">
      <alignment horizontal="left" vertical="center"/>
    </xf>
    <xf numFmtId="4" fontId="0" fillId="0" borderId="0" xfId="0" applyNumberFormat="1"/>
    <xf numFmtId="3" fontId="0" fillId="0" borderId="0" xfId="0" applyNumberFormat="1"/>
    <xf numFmtId="0" fontId="15" fillId="4" borderId="14" xfId="0" applyFont="1" applyFill="1" applyBorder="1" applyAlignment="1">
      <alignment horizontal="left" vertical="center" wrapText="1"/>
    </xf>
    <xf numFmtId="0" fontId="15" fillId="4" borderId="14" xfId="0" applyFont="1" applyFill="1" applyBorder="1" applyAlignment="1">
      <alignment horizontal="right" vertical="center" wrapText="1"/>
    </xf>
    <xf numFmtId="0" fontId="12" fillId="5" borderId="0" xfId="0" applyFont="1" applyFill="1" applyAlignment="1">
      <alignment horizontal="left" wrapText="1"/>
    </xf>
    <xf numFmtId="4" fontId="12" fillId="5" borderId="0" xfId="0" applyNumberFormat="1" applyFont="1" applyFill="1" applyAlignment="1">
      <alignment horizontal="right" wrapText="1"/>
    </xf>
    <xf numFmtId="0" fontId="12" fillId="4" borderId="0" xfId="0" applyFont="1" applyFill="1" applyAlignment="1">
      <alignment horizontal="left" wrapText="1"/>
    </xf>
    <xf numFmtId="0" fontId="12" fillId="4" borderId="0" xfId="0" applyFont="1" applyFill="1" applyAlignment="1">
      <alignment horizontal="right" wrapText="1"/>
    </xf>
    <xf numFmtId="0" fontId="12" fillId="5" borderId="0" xfId="0" applyFont="1" applyFill="1" applyAlignment="1">
      <alignment horizontal="right" wrapText="1"/>
    </xf>
    <xf numFmtId="0" fontId="12" fillId="5" borderId="15" xfId="0" applyFont="1" applyFill="1" applyBorder="1" applyAlignment="1">
      <alignment horizontal="left" wrapText="1"/>
    </xf>
    <xf numFmtId="0" fontId="12" fillId="5" borderId="15" xfId="0" applyFont="1" applyFill="1" applyBorder="1" applyAlignment="1">
      <alignment horizontal="right" wrapText="1"/>
    </xf>
    <xf numFmtId="0" fontId="16" fillId="0" borderId="0" xfId="0" applyFont="1" applyAlignment="1">
      <alignment horizontal="left" wrapText="1" indent="2"/>
    </xf>
    <xf numFmtId="164" fontId="8" fillId="0" borderId="0" xfId="1" applyNumberFormat="1" applyFont="1"/>
    <xf numFmtId="164" fontId="0" fillId="0" borderId="0" xfId="0" applyNumberFormat="1"/>
    <xf numFmtId="43" fontId="0" fillId="0" borderId="0" xfId="0" applyNumberFormat="1"/>
    <xf numFmtId="165" fontId="0" fillId="0" borderId="0" xfId="0" applyNumberFormat="1"/>
    <xf numFmtId="166" fontId="0" fillId="0" borderId="0" xfId="0" applyNumberFormat="1"/>
    <xf numFmtId="167" fontId="0" fillId="0" borderId="0" xfId="0" applyNumberFormat="1"/>
    <xf numFmtId="43" fontId="8" fillId="0" borderId="0" xfId="1" applyFont="1"/>
    <xf numFmtId="168" fontId="8" fillId="0" borderId="0" xfId="1" applyNumberFormat="1" applyFont="1"/>
    <xf numFmtId="0" fontId="14" fillId="6" borderId="0" xfId="0" applyFont="1" applyFill="1" applyAlignment="1">
      <alignment vertical="center"/>
    </xf>
    <xf numFmtId="0" fontId="0" fillId="6" borderId="0" xfId="0" applyFill="1"/>
    <xf numFmtId="0" fontId="15" fillId="6" borderId="15" xfId="0" applyFont="1" applyFill="1" applyBorder="1" applyAlignment="1">
      <alignment vertical="center" wrapText="1"/>
    </xf>
    <xf numFmtId="0" fontId="12" fillId="6" borderId="0" xfId="0" applyFont="1" applyFill="1" applyAlignment="1">
      <alignment horizontal="left" wrapText="1"/>
    </xf>
    <xf numFmtId="4" fontId="12" fillId="6" borderId="0" xfId="0" applyNumberFormat="1" applyFont="1" applyFill="1" applyAlignment="1">
      <alignment horizontal="right" wrapText="1"/>
    </xf>
    <xf numFmtId="0" fontId="12" fillId="6" borderId="0" xfId="0" applyFont="1" applyFill="1" applyAlignment="1">
      <alignment horizontal="right" wrapText="1"/>
    </xf>
    <xf numFmtId="0" fontId="11" fillId="0" borderId="0" xfId="0" applyFont="1"/>
    <xf numFmtId="0" fontId="12" fillId="6" borderId="15" xfId="0" applyFont="1" applyFill="1" applyBorder="1" applyAlignment="1">
      <alignment horizontal="left" wrapText="1"/>
    </xf>
    <xf numFmtId="0" fontId="12" fillId="6" borderId="15" xfId="0" applyFont="1" applyFill="1" applyBorder="1" applyAlignment="1">
      <alignment horizontal="righ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vertical="center"/>
    </xf>
    <xf numFmtId="0" fontId="17" fillId="7" borderId="0" xfId="0" applyFont="1" applyFill="1"/>
    <xf numFmtId="0" fontId="0" fillId="8" borderId="0" xfId="0" applyFill="1" applyAlignment="1">
      <alignment wrapText="1"/>
    </xf>
    <xf numFmtId="0" fontId="0" fillId="9" borderId="0" xfId="0" applyFill="1" applyAlignment="1">
      <alignment wrapText="1"/>
    </xf>
    <xf numFmtId="0" fontId="0" fillId="9" borderId="0" xfId="0" applyFill="1"/>
    <xf numFmtId="0" fontId="0" fillId="8" borderId="0" xfId="0" applyFill="1"/>
    <xf numFmtId="0" fontId="0" fillId="10" borderId="0" xfId="0" applyFill="1" applyAlignment="1">
      <alignment horizontal="center" wrapText="1"/>
    </xf>
    <xf numFmtId="0" fontId="17" fillId="11" borderId="0" xfId="0" applyFont="1" applyFill="1" applyAlignment="1">
      <alignment wrapText="1"/>
    </xf>
    <xf numFmtId="0" fontId="11" fillId="12" borderId="0" xfId="0" applyFont="1" applyFill="1"/>
    <xf numFmtId="0" fontId="17" fillId="13" borderId="0" xfId="0" applyFont="1" applyFill="1" applyAlignment="1">
      <alignment wrapText="1"/>
    </xf>
    <xf numFmtId="0" fontId="11" fillId="14" borderId="1" xfId="0" applyFont="1" applyFill="1" applyBorder="1" applyAlignment="1">
      <alignment horizontal="center" wrapText="1"/>
    </xf>
    <xf numFmtId="0" fontId="11" fillId="14" borderId="1" xfId="0" applyFont="1" applyFill="1" applyBorder="1" applyAlignment="1">
      <alignment horizontal="center"/>
    </xf>
    <xf numFmtId="164" fontId="10" fillId="2" borderId="13" xfId="3" applyNumberFormat="1"/>
    <xf numFmtId="170" fontId="10" fillId="2" borderId="13" xfId="3" applyNumberFormat="1"/>
    <xf numFmtId="164" fontId="10" fillId="2" borderId="17" xfId="3" applyNumberFormat="1" applyBorder="1"/>
    <xf numFmtId="170" fontId="10" fillId="2" borderId="17" xfId="3" applyNumberFormat="1" applyBorder="1"/>
    <xf numFmtId="2" fontId="10" fillId="2" borderId="17" xfId="3" applyNumberFormat="1" applyBorder="1"/>
    <xf numFmtId="0" fontId="11" fillId="15" borderId="1" xfId="0" applyFont="1" applyFill="1" applyBorder="1"/>
    <xf numFmtId="165" fontId="10" fillId="2" borderId="17" xfId="3" applyNumberFormat="1" applyBorder="1"/>
    <xf numFmtId="171" fontId="10" fillId="2" borderId="17" xfId="3" applyNumberFormat="1" applyBorder="1"/>
    <xf numFmtId="171" fontId="10" fillId="2" borderId="13" xfId="3" applyNumberFormat="1"/>
    <xf numFmtId="165" fontId="10" fillId="2" borderId="13" xfId="3" applyNumberFormat="1"/>
    <xf numFmtId="164" fontId="9" fillId="3" borderId="18" xfId="1" applyNumberFormat="1" applyFont="1" applyFill="1" applyBorder="1"/>
    <xf numFmtId="0" fontId="17" fillId="16" borderId="19" xfId="0" applyFont="1" applyFill="1" applyBorder="1" applyAlignment="1">
      <alignment wrapText="1"/>
    </xf>
    <xf numFmtId="0" fontId="11" fillId="12" borderId="20" xfId="0" applyFont="1" applyFill="1" applyBorder="1"/>
    <xf numFmtId="0" fontId="11" fillId="14" borderId="21" xfId="0" applyFont="1" applyFill="1" applyBorder="1" applyAlignment="1">
      <alignment horizontal="center"/>
    </xf>
    <xf numFmtId="0" fontId="11" fillId="15" borderId="22" xfId="0" applyFont="1" applyFill="1" applyBorder="1"/>
    <xf numFmtId="164" fontId="10" fillId="2" borderId="13" xfId="3" applyNumberFormat="1" applyBorder="1"/>
    <xf numFmtId="164" fontId="10" fillId="2" borderId="23" xfId="3" applyNumberFormat="1" applyBorder="1"/>
    <xf numFmtId="170" fontId="10" fillId="2" borderId="13" xfId="3" applyNumberFormat="1" applyBorder="1"/>
    <xf numFmtId="170" fontId="10" fillId="2" borderId="23" xfId="3" applyNumberFormat="1" applyBorder="1"/>
    <xf numFmtId="2" fontId="10" fillId="2" borderId="13" xfId="3" applyNumberFormat="1" applyBorder="1"/>
    <xf numFmtId="2" fontId="10" fillId="2" borderId="23" xfId="3" applyNumberFormat="1" applyBorder="1"/>
    <xf numFmtId="0" fontId="11" fillId="15" borderId="24" xfId="0" applyFont="1" applyFill="1" applyBorder="1"/>
    <xf numFmtId="2" fontId="10" fillId="2" borderId="25" xfId="3" applyNumberFormat="1" applyBorder="1"/>
    <xf numFmtId="2" fontId="10" fillId="2" borderId="26" xfId="3" applyNumberFormat="1" applyBorder="1"/>
    <xf numFmtId="2" fontId="10" fillId="2" borderId="27" xfId="3" applyNumberFormat="1" applyBorder="1"/>
    <xf numFmtId="0" fontId="12" fillId="0" borderId="0" xfId="0" applyFont="1"/>
    <xf numFmtId="0" fontId="18" fillId="0" borderId="0" xfId="0" applyFont="1"/>
    <xf numFmtId="0" fontId="17" fillId="17" borderId="0" xfId="0" applyFont="1" applyFill="1" applyAlignment="1">
      <alignment horizontal="left" wrapText="1"/>
    </xf>
    <xf numFmtId="44" fontId="8" fillId="0" borderId="0" xfId="2" applyFont="1"/>
    <xf numFmtId="0" fontId="0" fillId="0" borderId="0" xfId="0" applyAlignment="1">
      <alignment horizontal="center" vertical="top"/>
    </xf>
    <xf numFmtId="0" fontId="11" fillId="15" borderId="0" xfId="0" applyFont="1" applyFill="1" applyBorder="1"/>
    <xf numFmtId="172" fontId="8" fillId="0" borderId="0" xfId="2" applyNumberFormat="1" applyFont="1"/>
    <xf numFmtId="173" fontId="0" fillId="0" borderId="0" xfId="0" applyNumberFormat="1"/>
    <xf numFmtId="43" fontId="8" fillId="0" borderId="0" xfId="1" applyFont="1"/>
    <xf numFmtId="0" fontId="0" fillId="0" borderId="0" xfId="0" applyAlignment="1">
      <alignment horizontal="center"/>
    </xf>
    <xf numFmtId="0" fontId="0" fillId="0" borderId="0" xfId="0" applyAlignment="1">
      <alignment horizontal="center"/>
    </xf>
    <xf numFmtId="0" fontId="17" fillId="7" borderId="0" xfId="0" applyFont="1" applyFill="1" applyAlignment="1">
      <alignment wrapText="1"/>
    </xf>
    <xf numFmtId="169" fontId="10" fillId="2" borderId="17" xfId="3" applyNumberFormat="1" applyBorder="1"/>
    <xf numFmtId="166" fontId="10" fillId="2" borderId="17" xfId="3" applyNumberFormat="1" applyBorder="1"/>
    <xf numFmtId="0" fontId="11" fillId="18" borderId="1" xfId="0" applyFont="1" applyFill="1" applyBorder="1"/>
    <xf numFmtId="0" fontId="19" fillId="0" borderId="0" xfId="0" applyFont="1"/>
    <xf numFmtId="0" fontId="20" fillId="17" borderId="1" xfId="0" applyFont="1" applyFill="1" applyBorder="1"/>
    <xf numFmtId="164" fontId="19" fillId="9" borderId="1" xfId="1" applyNumberFormat="1" applyFont="1" applyFill="1" applyBorder="1"/>
    <xf numFmtId="164" fontId="20" fillId="17" borderId="1" xfId="0" applyNumberFormat="1" applyFont="1" applyFill="1" applyBorder="1"/>
    <xf numFmtId="9" fontId="19" fillId="0" borderId="0" xfId="4" applyFont="1"/>
    <xf numFmtId="10" fontId="20" fillId="0" borderId="0" xfId="4" applyNumberFormat="1" applyFont="1"/>
    <xf numFmtId="9" fontId="21" fillId="0" borderId="0" xfId="4" applyFont="1" applyFill="1" applyBorder="1"/>
    <xf numFmtId="165" fontId="19" fillId="9" borderId="1" xfId="1" applyNumberFormat="1" applyFont="1" applyFill="1" applyBorder="1"/>
    <xf numFmtId="0" fontId="22" fillId="17" borderId="0" xfId="0" applyFont="1" applyFill="1" applyAlignment="1">
      <alignment horizontal="left" wrapText="1"/>
    </xf>
    <xf numFmtId="0" fontId="19" fillId="7" borderId="1" xfId="0" applyFont="1" applyFill="1" applyBorder="1" applyAlignment="1">
      <alignment wrapText="1"/>
    </xf>
    <xf numFmtId="0" fontId="19" fillId="7" borderId="1" xfId="0" applyFont="1" applyFill="1" applyBorder="1"/>
    <xf numFmtId="0" fontId="23" fillId="0" borderId="0" xfId="0" applyFont="1" applyAlignment="1">
      <alignment horizontal="center"/>
    </xf>
    <xf numFmtId="0" fontId="19" fillId="20" borderId="3" xfId="0" applyFont="1" applyFill="1" applyBorder="1" applyAlignment="1">
      <alignment wrapText="1"/>
    </xf>
    <xf numFmtId="0" fontId="19" fillId="20" borderId="3" xfId="0" applyFont="1" applyFill="1" applyBorder="1"/>
    <xf numFmtId="164" fontId="19" fillId="9" borderId="5" xfId="1" applyNumberFormat="1" applyFont="1" applyFill="1" applyBorder="1"/>
    <xf numFmtId="0" fontId="11" fillId="18" borderId="3" xfId="0" applyFont="1" applyFill="1" applyBorder="1"/>
    <xf numFmtId="0" fontId="19" fillId="20" borderId="7" xfId="0" applyFont="1" applyFill="1" applyBorder="1"/>
    <xf numFmtId="0" fontId="20" fillId="18" borderId="3" xfId="0" applyFont="1" applyFill="1" applyBorder="1"/>
    <xf numFmtId="0" fontId="19" fillId="20" borderId="8" xfId="0" applyFont="1" applyFill="1" applyBorder="1" applyAlignment="1">
      <alignment wrapText="1"/>
    </xf>
    <xf numFmtId="0" fontId="19" fillId="20" borderId="6" xfId="0" applyFont="1" applyFill="1" applyBorder="1"/>
    <xf numFmtId="0" fontId="11" fillId="18" borderId="10" xfId="0" applyFont="1" applyFill="1" applyBorder="1"/>
    <xf numFmtId="49" fontId="23" fillId="0" borderId="0" xfId="0" applyNumberFormat="1" applyFont="1" applyAlignment="1">
      <alignment horizontal="center"/>
    </xf>
    <xf numFmtId="0" fontId="11" fillId="15" borderId="5" xfId="0" applyFont="1" applyFill="1" applyBorder="1"/>
    <xf numFmtId="0" fontId="11" fillId="12" borderId="12" xfId="0" applyFont="1" applyFill="1" applyBorder="1"/>
    <xf numFmtId="0" fontId="22" fillId="17" borderId="0" xfId="0" applyFont="1" applyFill="1" applyBorder="1" applyAlignment="1">
      <alignment horizontal="left" wrapText="1"/>
    </xf>
    <xf numFmtId="0" fontId="22" fillId="19" borderId="0" xfId="0" applyFont="1" applyFill="1" applyBorder="1" applyAlignment="1">
      <alignment horizontal="left"/>
    </xf>
    <xf numFmtId="0" fontId="22" fillId="19" borderId="0" xfId="0" applyFont="1" applyFill="1" applyBorder="1" applyAlignment="1">
      <alignment horizontal="left" wrapText="1"/>
    </xf>
    <xf numFmtId="0" fontId="22" fillId="17" borderId="0" xfId="0" applyFont="1" applyFill="1" applyBorder="1" applyAlignment="1">
      <alignment horizontal="left"/>
    </xf>
    <xf numFmtId="0" fontId="11" fillId="12" borderId="12" xfId="0" applyFont="1" applyFill="1" applyBorder="1" applyAlignment="1">
      <alignment horizontal="center"/>
    </xf>
    <xf numFmtId="0" fontId="14" fillId="0" borderId="14" xfId="0" applyFont="1" applyBorder="1" applyAlignment="1">
      <alignment horizontal="left" indent="2"/>
    </xf>
    <xf numFmtId="0" fontId="14" fillId="0" borderId="0" xfId="0" applyFont="1"/>
    <xf numFmtId="0" fontId="14" fillId="4" borderId="0" xfId="0" applyFont="1" applyFill="1" applyAlignment="1">
      <alignment horizontal="left" vertical="center" wrapText="1" indent="2"/>
    </xf>
    <xf numFmtId="0" fontId="14" fillId="4" borderId="0" xfId="0" applyFont="1" applyFill="1" applyAlignment="1">
      <alignment horizontal="right" wrapText="1" indent="2"/>
    </xf>
    <xf numFmtId="4" fontId="14" fillId="4" borderId="0" xfId="0" applyNumberFormat="1" applyFont="1" applyFill="1" applyAlignment="1">
      <alignment horizontal="right" wrapText="1" indent="2"/>
    </xf>
    <xf numFmtId="0" fontId="14" fillId="4" borderId="15" xfId="0" applyFont="1" applyFill="1" applyBorder="1" applyAlignment="1">
      <alignment horizontal="left" vertical="center" wrapText="1" indent="2"/>
    </xf>
    <xf numFmtId="4" fontId="14" fillId="4" borderId="15" xfId="0" applyNumberFormat="1" applyFont="1" applyFill="1" applyBorder="1" applyAlignment="1">
      <alignment horizontal="right" wrapText="1" indent="2"/>
    </xf>
    <xf numFmtId="0" fontId="14" fillId="0" borderId="15" xfId="0" applyFont="1" applyBorder="1" applyAlignment="1">
      <alignment horizontal="left" indent="2"/>
    </xf>
    <xf numFmtId="0" fontId="13" fillId="0" borderId="30" xfId="0" applyFont="1" applyBorder="1" applyAlignment="1">
      <alignment horizontal="center" vertical="center" wrapText="1"/>
    </xf>
    <xf numFmtId="0" fontId="14" fillId="4" borderId="15" xfId="0" applyFont="1" applyFill="1" applyBorder="1"/>
    <xf numFmtId="0" fontId="13" fillId="4" borderId="15" xfId="0" applyFont="1" applyFill="1" applyBorder="1" applyAlignment="1">
      <alignment vertical="center" wrapText="1"/>
    </xf>
    <xf numFmtId="0" fontId="22" fillId="17" borderId="0" xfId="0" applyFont="1" applyFill="1" applyAlignment="1"/>
    <xf numFmtId="0" fontId="22" fillId="10" borderId="0" xfId="0" applyFont="1" applyFill="1" applyAlignment="1">
      <alignment horizontal="left"/>
    </xf>
    <xf numFmtId="0" fontId="11" fillId="16" borderId="12" xfId="0" applyFont="1" applyFill="1" applyBorder="1"/>
    <xf numFmtId="0" fontId="11" fillId="16" borderId="12" xfId="0" applyFont="1" applyFill="1" applyBorder="1" applyAlignment="1">
      <alignment horizontal="center"/>
    </xf>
    <xf numFmtId="0" fontId="22" fillId="17" borderId="0" xfId="0" applyFont="1" applyFill="1" applyAlignment="1">
      <alignment horizontal="left"/>
    </xf>
    <xf numFmtId="172" fontId="8" fillId="21" borderId="1" xfId="2" applyNumberFormat="1" applyFont="1" applyFill="1" applyBorder="1"/>
    <xf numFmtId="174" fontId="8" fillId="20" borderId="1" xfId="2" applyNumberFormat="1" applyFont="1" applyFill="1" applyBorder="1" applyAlignment="1">
      <alignment horizontal="right"/>
    </xf>
    <xf numFmtId="175" fontId="8" fillId="20" borderId="1" xfId="2" applyNumberFormat="1" applyFont="1" applyFill="1" applyBorder="1" applyAlignment="1">
      <alignment horizontal="right"/>
    </xf>
    <xf numFmtId="0" fontId="11" fillId="22" borderId="0" xfId="0" applyFont="1" applyFill="1" applyBorder="1" applyAlignment="1">
      <alignment horizontal="center" wrapText="1"/>
    </xf>
    <xf numFmtId="0" fontId="23" fillId="0" borderId="0" xfId="0" applyFont="1" applyFill="1" applyBorder="1" applyAlignment="1">
      <alignment horizontal="center"/>
    </xf>
    <xf numFmtId="0" fontId="19" fillId="7" borderId="2" xfId="0" applyFont="1" applyFill="1" applyBorder="1" applyAlignment="1">
      <alignment wrapText="1"/>
    </xf>
    <xf numFmtId="0" fontId="19" fillId="7" borderId="5" xfId="0" applyFont="1" applyFill="1" applyBorder="1"/>
    <xf numFmtId="0" fontId="19" fillId="7" borderId="5" xfId="0" applyFont="1" applyFill="1" applyBorder="1" applyAlignment="1">
      <alignment wrapText="1"/>
    </xf>
    <xf numFmtId="0" fontId="19" fillId="10" borderId="9" xfId="0" applyFont="1" applyFill="1" applyBorder="1"/>
    <xf numFmtId="0" fontId="20" fillId="10" borderId="3" xfId="0" applyFont="1" applyFill="1" applyBorder="1"/>
    <xf numFmtId="44" fontId="20" fillId="17" borderId="1" xfId="2" applyFont="1" applyFill="1" applyBorder="1" applyAlignment="1">
      <alignment horizontal="center" wrapText="1"/>
    </xf>
    <xf numFmtId="0" fontId="11" fillId="15" borderId="5" xfId="0" applyFont="1" applyFill="1" applyBorder="1" applyAlignment="1">
      <alignment wrapText="1"/>
    </xf>
    <xf numFmtId="0" fontId="20" fillId="7" borderId="1" xfId="0" applyFont="1" applyFill="1" applyBorder="1" applyAlignment="1">
      <alignment wrapText="1"/>
    </xf>
    <xf numFmtId="0" fontId="11" fillId="15" borderId="3" xfId="0" applyFont="1" applyFill="1" applyBorder="1" applyAlignment="1">
      <alignment wrapText="1"/>
    </xf>
    <xf numFmtId="164" fontId="20" fillId="17" borderId="3" xfId="0" applyNumberFormat="1" applyFont="1" applyFill="1" applyBorder="1"/>
    <xf numFmtId="164" fontId="20" fillId="17" borderId="9" xfId="1" applyNumberFormat="1" applyFont="1" applyFill="1" applyBorder="1"/>
    <xf numFmtId="164" fontId="20" fillId="17" borderId="3" xfId="1" applyNumberFormat="1" applyFont="1" applyFill="1" applyBorder="1"/>
    <xf numFmtId="0" fontId="11" fillId="19" borderId="0" xfId="0" applyFont="1" applyFill="1" applyBorder="1" applyAlignment="1">
      <alignment horizontal="left"/>
    </xf>
    <xf numFmtId="0" fontId="0" fillId="0" borderId="0" xfId="0" applyAlignment="1">
      <alignment horizontal="right"/>
    </xf>
    <xf numFmtId="0" fontId="17" fillId="11" borderId="0" xfId="0" applyFont="1" applyFill="1" applyAlignment="1">
      <alignment vertical="center" wrapText="1"/>
    </xf>
    <xf numFmtId="0" fontId="17" fillId="17" borderId="0" xfId="0" applyFont="1" applyFill="1" applyAlignment="1">
      <alignment horizontal="left" vertical="center" wrapText="1"/>
    </xf>
    <xf numFmtId="164" fontId="9" fillId="3" borderId="18" xfId="1" applyNumberFormat="1" applyFont="1" applyFill="1" applyBorder="1" applyAlignment="1">
      <alignment horizontal="center"/>
    </xf>
    <xf numFmtId="164" fontId="19" fillId="0" borderId="0" xfId="1" applyNumberFormat="1" applyFont="1" applyFill="1" applyBorder="1"/>
    <xf numFmtId="0" fontId="19" fillId="0" borderId="0" xfId="0" applyFont="1" applyFill="1" applyBorder="1"/>
    <xf numFmtId="0" fontId="20" fillId="0" borderId="0" xfId="0" applyFont="1" applyFill="1" applyBorder="1"/>
    <xf numFmtId="0" fontId="0" fillId="0" borderId="0" xfId="0" applyFill="1" applyBorder="1"/>
    <xf numFmtId="0" fontId="11" fillId="0" borderId="0" xfId="0" applyFont="1" applyFill="1" applyBorder="1"/>
    <xf numFmtId="0" fontId="19" fillId="0" borderId="0" xfId="0" applyFont="1" applyFill="1" applyBorder="1" applyAlignment="1">
      <alignment wrapText="1"/>
    </xf>
    <xf numFmtId="0" fontId="11" fillId="0" borderId="0" xfId="0" applyFont="1" applyFill="1" applyBorder="1" applyAlignment="1">
      <alignment horizontal="center" wrapText="1"/>
    </xf>
    <xf numFmtId="0" fontId="22" fillId="0" borderId="0" xfId="0" applyFont="1" applyFill="1" applyBorder="1" applyAlignment="1">
      <alignment horizontal="left" wrapText="1"/>
    </xf>
    <xf numFmtId="0" fontId="20" fillId="18" borderId="1" xfId="0" applyFont="1" applyFill="1" applyBorder="1"/>
    <xf numFmtId="164" fontId="8" fillId="9" borderId="1" xfId="1" applyNumberFormat="1" applyFont="1" applyFill="1" applyBorder="1"/>
    <xf numFmtId="165" fontId="8" fillId="9" borderId="1" xfId="1" applyNumberFormat="1" applyFont="1" applyFill="1" applyBorder="1"/>
    <xf numFmtId="0" fontId="19" fillId="20" borderId="1" xfId="0" applyFont="1" applyFill="1" applyBorder="1"/>
    <xf numFmtId="0" fontId="11" fillId="0" borderId="0" xfId="0" applyFont="1" applyAlignment="1">
      <alignment horizontal="center"/>
    </xf>
    <xf numFmtId="0" fontId="11" fillId="18" borderId="0" xfId="0" applyFont="1" applyFill="1" applyBorder="1"/>
    <xf numFmtId="0" fontId="23" fillId="0" borderId="0" xfId="0" applyFont="1" applyAlignment="1"/>
    <xf numFmtId="164" fontId="0" fillId="0" borderId="0" xfId="1" applyNumberFormat="1" applyFont="1"/>
    <xf numFmtId="0" fontId="19" fillId="20" borderId="3" xfId="0" applyFont="1" applyFill="1" applyBorder="1" applyAlignment="1"/>
    <xf numFmtId="0" fontId="19" fillId="20" borderId="31" xfId="0" applyFont="1" applyFill="1" applyBorder="1" applyAlignment="1"/>
    <xf numFmtId="0" fontId="16" fillId="0" borderId="0" xfId="0" applyFont="1"/>
    <xf numFmtId="0" fontId="20" fillId="23" borderId="3" xfId="0" applyFont="1" applyFill="1" applyBorder="1"/>
    <xf numFmtId="0" fontId="20" fillId="23" borderId="11" xfId="0" applyFont="1" applyFill="1" applyBorder="1"/>
    <xf numFmtId="0" fontId="19" fillId="25" borderId="7" xfId="0" applyFont="1" applyFill="1" applyBorder="1" applyAlignment="1">
      <alignment wrapText="1"/>
    </xf>
    <xf numFmtId="0" fontId="19" fillId="25" borderId="6" xfId="0" applyFont="1" applyFill="1" applyBorder="1" applyAlignment="1">
      <alignment wrapText="1"/>
    </xf>
    <xf numFmtId="0" fontId="19" fillId="25" borderId="6" xfId="0" applyFont="1" applyFill="1" applyBorder="1"/>
    <xf numFmtId="0" fontId="19" fillId="25" borderId="3" xfId="0" applyFont="1" applyFill="1" applyBorder="1"/>
    <xf numFmtId="0" fontId="19" fillId="25" borderId="7" xfId="0" applyFont="1" applyFill="1" applyBorder="1" applyAlignment="1"/>
    <xf numFmtId="0" fontId="19" fillId="25" borderId="7" xfId="0" applyFont="1" applyFill="1" applyBorder="1" applyAlignment="1">
      <alignment horizontal="left" vertical="center" wrapText="1"/>
    </xf>
    <xf numFmtId="0" fontId="19" fillId="0" borderId="0" xfId="0" applyFont="1" applyAlignment="1">
      <alignment horizontal="center"/>
    </xf>
    <xf numFmtId="0" fontId="11" fillId="9" borderId="1" xfId="0" applyFont="1" applyFill="1" applyBorder="1" applyAlignment="1">
      <alignment horizontal="center" vertical="center"/>
    </xf>
    <xf numFmtId="0" fontId="19" fillId="20" borderId="1" xfId="0" applyFont="1" applyFill="1" applyBorder="1" applyAlignment="1">
      <alignment horizontal="left" wrapText="1"/>
    </xf>
    <xf numFmtId="0" fontId="20" fillId="18" borderId="0" xfId="0" applyFont="1" applyFill="1" applyBorder="1" applyAlignment="1">
      <alignment horizontal="center"/>
    </xf>
    <xf numFmtId="49" fontId="23" fillId="0" borderId="0" xfId="0" applyNumberFormat="1" applyFont="1" applyAlignment="1">
      <alignment horizontal="left"/>
    </xf>
    <xf numFmtId="0" fontId="20" fillId="10" borderId="3" xfId="0" applyFont="1" applyFill="1" applyBorder="1" applyAlignment="1">
      <alignment horizontal="center"/>
    </xf>
    <xf numFmtId="0" fontId="19" fillId="0" borderId="0" xfId="0" applyFont="1" applyAlignment="1">
      <alignment wrapText="1"/>
    </xf>
    <xf numFmtId="0" fontId="28" fillId="0" borderId="0" xfId="5" applyFont="1" applyAlignment="1" applyProtection="1">
      <alignment wrapText="1"/>
    </xf>
    <xf numFmtId="0" fontId="22" fillId="0" borderId="0" xfId="0" applyFont="1" applyAlignment="1">
      <alignment wrapText="1"/>
    </xf>
    <xf numFmtId="0" fontId="28" fillId="0" borderId="0" xfId="5" applyFont="1" applyAlignment="1" applyProtection="1"/>
    <xf numFmtId="0" fontId="27" fillId="0" borderId="0" xfId="5" applyAlignment="1" applyProtection="1">
      <alignment horizontal="left"/>
    </xf>
    <xf numFmtId="0" fontId="22" fillId="0" borderId="0" xfId="0" applyFont="1" applyAlignment="1">
      <alignment horizontal="left" vertical="center"/>
    </xf>
    <xf numFmtId="49" fontId="22" fillId="0" borderId="0" xfId="0" applyNumberFormat="1" applyFont="1" applyAlignment="1">
      <alignment horizontal="center"/>
    </xf>
    <xf numFmtId="0" fontId="0" fillId="9" borderId="0" xfId="0" applyFill="1" applyAlignment="1">
      <alignment horizontal="center"/>
    </xf>
    <xf numFmtId="0" fontId="0" fillId="9" borderId="0" xfId="0" applyFill="1" applyBorder="1" applyAlignment="1">
      <alignment horizontal="center"/>
    </xf>
    <xf numFmtId="0" fontId="0" fillId="9" borderId="0" xfId="0" applyFont="1" applyFill="1" applyBorder="1" applyAlignment="1">
      <alignment horizontal="center"/>
    </xf>
    <xf numFmtId="0" fontId="19" fillId="9" borderId="0" xfId="1" applyNumberFormat="1" applyFont="1" applyFill="1" applyBorder="1" applyAlignment="1">
      <alignment horizontal="center"/>
    </xf>
    <xf numFmtId="44" fontId="20" fillId="7" borderId="1" xfId="2" applyFont="1" applyFill="1" applyBorder="1"/>
    <xf numFmtId="1" fontId="20" fillId="7" borderId="1" xfId="2" applyNumberFormat="1" applyFont="1" applyFill="1" applyBorder="1" applyAlignment="1">
      <alignment horizontal="right" wrapText="1"/>
    </xf>
    <xf numFmtId="0" fontId="19" fillId="25" borderId="31" xfId="0" applyFont="1" applyFill="1" applyBorder="1" applyAlignment="1"/>
    <xf numFmtId="0" fontId="27" fillId="0" borderId="0" xfId="5" applyAlignment="1" applyProtection="1"/>
    <xf numFmtId="0" fontId="29" fillId="0" borderId="0" xfId="5" applyFont="1" applyAlignment="1" applyProtection="1">
      <alignment horizontal="left"/>
    </xf>
    <xf numFmtId="0" fontId="29" fillId="0" borderId="0" xfId="5" applyFont="1" applyAlignment="1" applyProtection="1">
      <alignment wrapText="1"/>
    </xf>
    <xf numFmtId="0" fontId="29" fillId="0" borderId="0" xfId="5" applyFont="1" applyAlignment="1" applyProtection="1">
      <alignment horizontal="left" wrapText="1"/>
    </xf>
    <xf numFmtId="0" fontId="0" fillId="0" borderId="0" xfId="0" applyAlignment="1">
      <alignment wrapText="1"/>
    </xf>
    <xf numFmtId="49" fontId="19" fillId="0" borderId="0" xfId="0" applyNumberFormat="1" applyFont="1" applyAlignment="1">
      <alignment wrapText="1"/>
    </xf>
    <xf numFmtId="49" fontId="21" fillId="0" borderId="0" xfId="0" applyNumberFormat="1" applyFont="1" applyAlignment="1">
      <alignment wrapText="1"/>
    </xf>
    <xf numFmtId="0" fontId="20" fillId="23" borderId="7" xfId="0" applyFont="1" applyFill="1" applyBorder="1" applyAlignment="1">
      <alignment wrapText="1"/>
    </xf>
    <xf numFmtId="0" fontId="20" fillId="23" borderId="10" xfId="0" applyFont="1" applyFill="1" applyBorder="1"/>
    <xf numFmtId="0" fontId="19" fillId="25" borderId="8" xfId="0" applyFont="1" applyFill="1" applyBorder="1" applyAlignment="1">
      <alignment wrapText="1"/>
    </xf>
    <xf numFmtId="0" fontId="20" fillId="23" borderId="7" xfId="0" applyFont="1" applyFill="1" applyBorder="1"/>
    <xf numFmtId="0" fontId="19" fillId="25" borderId="8" xfId="0" applyFont="1" applyFill="1" applyBorder="1" applyAlignment="1">
      <alignment vertical="center" wrapText="1"/>
    </xf>
    <xf numFmtId="0" fontId="20" fillId="23" borderId="0" xfId="0" applyFont="1" applyFill="1" applyBorder="1" applyAlignment="1">
      <alignment wrapText="1"/>
    </xf>
    <xf numFmtId="44" fontId="11" fillId="9" borderId="0" xfId="2" applyFont="1" applyFill="1" applyBorder="1" applyAlignment="1">
      <alignment horizontal="right"/>
    </xf>
    <xf numFmtId="44" fontId="0" fillId="0" borderId="0" xfId="0" applyNumberFormat="1"/>
    <xf numFmtId="9" fontId="20" fillId="24" borderId="4" xfId="4" applyNumberFormat="1" applyFont="1" applyFill="1" applyBorder="1"/>
    <xf numFmtId="0" fontId="19" fillId="25" borderId="3" xfId="0" applyFont="1" applyFill="1" applyBorder="1" applyAlignment="1">
      <alignment horizontal="left" vertical="center"/>
    </xf>
    <xf numFmtId="0" fontId="20" fillId="23" borderId="11" xfId="0" applyFont="1" applyFill="1" applyBorder="1" applyAlignment="1">
      <alignment wrapText="1"/>
    </xf>
    <xf numFmtId="164" fontId="20" fillId="7" borderId="5" xfId="1" applyNumberFormat="1" applyFont="1" applyFill="1" applyBorder="1" applyAlignment="1">
      <alignment horizontal="right"/>
    </xf>
    <xf numFmtId="164" fontId="20" fillId="7" borderId="1" xfId="1" applyNumberFormat="1" applyFont="1" applyFill="1" applyBorder="1" applyAlignment="1">
      <alignment horizontal="right"/>
    </xf>
    <xf numFmtId="164" fontId="20" fillId="7" borderId="1" xfId="0" applyNumberFormat="1" applyFont="1" applyFill="1" applyBorder="1" applyAlignment="1">
      <alignment horizontal="right"/>
    </xf>
    <xf numFmtId="164" fontId="20" fillId="7" borderId="2" xfId="0" applyNumberFormat="1" applyFont="1" applyFill="1" applyBorder="1" applyAlignment="1">
      <alignment horizontal="right"/>
    </xf>
    <xf numFmtId="164" fontId="20" fillId="7" borderId="5" xfId="1" applyNumberFormat="1" applyFont="1" applyFill="1" applyBorder="1"/>
    <xf numFmtId="9" fontId="20" fillId="7" borderId="5" xfId="1" applyNumberFormat="1" applyFont="1" applyFill="1" applyBorder="1" applyAlignment="1">
      <alignment horizontal="right"/>
    </xf>
    <xf numFmtId="164" fontId="20" fillId="7" borderId="1" xfId="1" applyNumberFormat="1" applyFont="1" applyFill="1" applyBorder="1"/>
    <xf numFmtId="172" fontId="20" fillId="7" borderId="2" xfId="2" applyNumberFormat="1" applyFont="1" applyFill="1" applyBorder="1" applyAlignment="1">
      <alignment horizontal="right"/>
    </xf>
    <xf numFmtId="172" fontId="20" fillId="7" borderId="1" xfId="2" applyNumberFormat="1" applyFont="1" applyFill="1" applyBorder="1" applyAlignment="1">
      <alignment horizontal="right"/>
    </xf>
    <xf numFmtId="164" fontId="20" fillId="7" borderId="5" xfId="0" applyNumberFormat="1" applyFont="1" applyFill="1" applyBorder="1"/>
    <xf numFmtId="164" fontId="20" fillId="7" borderId="1" xfId="0" applyNumberFormat="1" applyFont="1" applyFill="1" applyBorder="1"/>
    <xf numFmtId="172" fontId="20" fillId="7" borderId="1" xfId="2" applyNumberFormat="1" applyFont="1" applyFill="1" applyBorder="1"/>
    <xf numFmtId="9" fontId="20" fillId="7" borderId="1" xfId="4" applyFont="1" applyFill="1" applyBorder="1" applyAlignment="1">
      <alignment horizontal="right" vertical="center"/>
    </xf>
    <xf numFmtId="0" fontId="11" fillId="16" borderId="0" xfId="0" applyFont="1" applyFill="1" applyBorder="1" applyAlignment="1">
      <alignment horizontal="center"/>
    </xf>
    <xf numFmtId="0" fontId="11" fillId="15" borderId="6" xfId="0" applyFont="1" applyFill="1" applyBorder="1"/>
    <xf numFmtId="0" fontId="11" fillId="15" borderId="3" xfId="0" applyFont="1" applyFill="1" applyBorder="1"/>
    <xf numFmtId="164" fontId="19" fillId="9" borderId="6" xfId="1" applyNumberFormat="1" applyFont="1" applyFill="1" applyBorder="1"/>
    <xf numFmtId="164" fontId="19" fillId="9" borderId="32" xfId="1" applyNumberFormat="1" applyFont="1" applyFill="1" applyBorder="1"/>
    <xf numFmtId="164" fontId="19" fillId="9" borderId="3" xfId="1" applyNumberFormat="1" applyFont="1" applyFill="1" applyBorder="1"/>
    <xf numFmtId="164" fontId="19" fillId="9" borderId="9" xfId="1" applyNumberFormat="1" applyFont="1" applyFill="1" applyBorder="1"/>
    <xf numFmtId="166" fontId="19" fillId="9" borderId="3" xfId="1" applyNumberFormat="1" applyFont="1" applyFill="1" applyBorder="1"/>
    <xf numFmtId="44" fontId="20" fillId="7" borderId="1" xfId="2" applyFont="1" applyFill="1" applyBorder="1" applyAlignment="1">
      <alignment horizontal="center" wrapText="1"/>
    </xf>
    <xf numFmtId="2" fontId="20" fillId="7" borderId="1" xfId="2" applyNumberFormat="1" applyFont="1" applyFill="1" applyBorder="1" applyAlignment="1">
      <alignment horizontal="right" wrapText="1"/>
    </xf>
    <xf numFmtId="0" fontId="19" fillId="7" borderId="1" xfId="0" applyFont="1" applyFill="1" applyBorder="1" applyAlignment="1">
      <alignment vertical="center" wrapText="1"/>
    </xf>
    <xf numFmtId="0" fontId="20" fillId="10" borderId="3" xfId="0" applyFont="1" applyFill="1" applyBorder="1" applyAlignment="1">
      <alignment wrapText="1"/>
    </xf>
    <xf numFmtId="0" fontId="19" fillId="7" borderId="5" xfId="0" applyFont="1" applyFill="1" applyBorder="1" applyAlignment="1">
      <alignment vertical="center" wrapText="1"/>
    </xf>
    <xf numFmtId="0" fontId="29" fillId="0" borderId="0" xfId="5" applyFont="1" applyAlignment="1" applyProtection="1">
      <alignment horizontal="right" wrapText="1"/>
    </xf>
    <xf numFmtId="0" fontId="31" fillId="0" borderId="0" xfId="0" applyFont="1" applyAlignment="1">
      <alignment vertical="center" wrapText="1"/>
    </xf>
    <xf numFmtId="0" fontId="32"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xf>
    <xf numFmtId="49" fontId="22" fillId="0" borderId="0" xfId="0" applyNumberFormat="1" applyFont="1" applyAlignment="1">
      <alignment horizontal="left"/>
    </xf>
    <xf numFmtId="0" fontId="19" fillId="20" borderId="6" xfId="0" applyFont="1" applyFill="1" applyBorder="1" applyAlignment="1">
      <alignment horizontal="left" vertical="center" wrapText="1"/>
    </xf>
    <xf numFmtId="9" fontId="20" fillId="24" borderId="4" xfId="4" applyNumberFormat="1" applyFont="1" applyFill="1" applyBorder="1" applyProtection="1">
      <protection hidden="1"/>
    </xf>
    <xf numFmtId="9" fontId="19" fillId="25" borderId="1" xfId="4" applyFont="1" applyFill="1" applyBorder="1" applyProtection="1">
      <protection locked="0"/>
    </xf>
    <xf numFmtId="164" fontId="19" fillId="25" borderId="1" xfId="1" applyNumberFormat="1" applyFont="1" applyFill="1" applyBorder="1" applyProtection="1">
      <protection locked="0"/>
    </xf>
    <xf numFmtId="0" fontId="19" fillId="20" borderId="1" xfId="0" applyFont="1" applyFill="1" applyBorder="1" applyAlignment="1" applyProtection="1">
      <alignment wrapText="1"/>
      <protection locked="0"/>
    </xf>
    <xf numFmtId="0" fontId="19" fillId="20" borderId="3" xfId="0" applyFont="1" applyFill="1" applyBorder="1" applyProtection="1">
      <protection locked="0"/>
    </xf>
    <xf numFmtId="164" fontId="19" fillId="9" borderId="1" xfId="1" applyNumberFormat="1" applyFont="1" applyFill="1" applyBorder="1" applyProtection="1">
      <protection locked="0"/>
    </xf>
    <xf numFmtId="3" fontId="0" fillId="9" borderId="1" xfId="0" applyNumberFormat="1" applyFill="1" applyBorder="1" applyProtection="1">
      <protection locked="0"/>
    </xf>
    <xf numFmtId="3" fontId="11" fillId="9" borderId="1" xfId="0" applyNumberFormat="1" applyFont="1" applyFill="1" applyBorder="1" applyProtection="1">
      <protection locked="0"/>
    </xf>
    <xf numFmtId="3" fontId="11" fillId="9" borderId="1" xfId="0" applyNumberFormat="1" applyFont="1" applyFill="1" applyBorder="1" applyAlignment="1" applyProtection="1">
      <alignment horizontal="right"/>
      <protection locked="0"/>
    </xf>
    <xf numFmtId="164" fontId="0" fillId="0" borderId="0" xfId="0" applyNumberFormat="1" applyFill="1" applyBorder="1" applyProtection="1">
      <protection locked="0"/>
    </xf>
    <xf numFmtId="44" fontId="11" fillId="9" borderId="0" xfId="2" applyFont="1" applyFill="1" applyBorder="1" applyAlignment="1" applyProtection="1">
      <alignment horizontal="right"/>
      <protection locked="0"/>
    </xf>
    <xf numFmtId="164" fontId="19" fillId="0" borderId="0" xfId="0" applyNumberFormat="1" applyFont="1" applyFill="1" applyBorder="1" applyProtection="1">
      <protection locked="0"/>
    </xf>
    <xf numFmtId="164" fontId="19" fillId="0" borderId="0" xfId="1" applyNumberFormat="1" applyFont="1" applyFill="1" applyBorder="1" applyProtection="1">
      <protection locked="0"/>
    </xf>
    <xf numFmtId="0" fontId="19" fillId="0" borderId="0" xfId="0" applyFont="1" applyFill="1" applyBorder="1" applyProtection="1">
      <protection locked="0"/>
    </xf>
    <xf numFmtId="44" fontId="19" fillId="0" borderId="0" xfId="2" applyFont="1" applyFill="1" applyBorder="1" applyProtection="1">
      <protection locked="0"/>
    </xf>
    <xf numFmtId="0" fontId="11" fillId="20" borderId="4" xfId="0" applyFont="1" applyFill="1" applyBorder="1" applyAlignment="1" applyProtection="1">
      <alignment horizontal="center"/>
      <protection locked="0"/>
    </xf>
    <xf numFmtId="0" fontId="20" fillId="18" borderId="11" xfId="0" applyFont="1" applyFill="1" applyBorder="1" applyProtection="1">
      <protection locked="0"/>
    </xf>
    <xf numFmtId="164" fontId="19" fillId="20" borderId="4" xfId="1" applyNumberFormat="1" applyFont="1" applyFill="1" applyBorder="1" applyProtection="1">
      <protection locked="0"/>
    </xf>
    <xf numFmtId="176" fontId="19" fillId="20" borderId="4" xfId="1" applyNumberFormat="1" applyFont="1" applyFill="1" applyBorder="1" applyAlignment="1" applyProtection="1">
      <protection locked="0"/>
    </xf>
    <xf numFmtId="0" fontId="19" fillId="20" borderId="4" xfId="0" applyFont="1" applyFill="1" applyBorder="1" applyProtection="1">
      <protection locked="0"/>
    </xf>
    <xf numFmtId="49" fontId="11" fillId="9" borderId="4" xfId="0" applyNumberFormat="1" applyFont="1" applyFill="1" applyBorder="1" applyAlignment="1" applyProtection="1">
      <alignment horizontal="center"/>
      <protection locked="0"/>
    </xf>
    <xf numFmtId="9" fontId="19" fillId="25" borderId="33" xfId="4" applyFont="1" applyFill="1" applyBorder="1" applyAlignment="1" applyProtection="1">
      <alignment wrapText="1"/>
      <protection locked="0"/>
    </xf>
    <xf numFmtId="0" fontId="20" fillId="23" borderId="11" xfId="0" applyFont="1" applyFill="1" applyBorder="1" applyProtection="1">
      <protection locked="0"/>
    </xf>
    <xf numFmtId="0" fontId="19" fillId="23" borderId="12" xfId="0" applyFont="1" applyFill="1" applyBorder="1" applyAlignment="1">
      <alignment horizontal="left" wrapText="1"/>
    </xf>
    <xf numFmtId="0" fontId="19" fillId="23" borderId="32" xfId="0" applyFont="1" applyFill="1" applyBorder="1" applyAlignment="1">
      <alignment horizontal="left" wrapText="1"/>
    </xf>
    <xf numFmtId="0" fontId="11" fillId="0" borderId="0" xfId="0" applyFont="1" applyAlignment="1">
      <alignment horizontal="left"/>
    </xf>
    <xf numFmtId="0" fontId="17" fillId="7" borderId="0" xfId="0" applyFont="1" applyFill="1" applyAlignment="1">
      <alignment horizontal="center" wrapText="1"/>
    </xf>
    <xf numFmtId="0" fontId="17" fillId="7" borderId="28" xfId="0" applyFont="1" applyFill="1" applyBorder="1" applyAlignment="1">
      <alignment horizontal="center" wrapText="1"/>
    </xf>
    <xf numFmtId="0" fontId="17" fillId="7" borderId="29" xfId="0" applyFont="1" applyFill="1" applyBorder="1" applyAlignment="1">
      <alignment horizontal="center" wrapText="1"/>
    </xf>
    <xf numFmtId="0" fontId="13" fillId="4" borderId="0" xfId="0" applyFont="1" applyFill="1" applyBorder="1" applyAlignment="1">
      <alignment horizontal="left" vertical="center" wrapText="1"/>
    </xf>
    <xf numFmtId="0" fontId="13" fillId="4" borderId="14" xfId="0" applyFont="1" applyFill="1" applyBorder="1" applyAlignment="1">
      <alignment horizontal="right" vertical="center" wrapText="1"/>
    </xf>
    <xf numFmtId="0" fontId="17" fillId="7" borderId="0" xfId="0" applyFont="1" applyFill="1" applyAlignment="1">
      <alignment horizontal="center" vertical="center" wrapText="1"/>
    </xf>
    <xf numFmtId="0" fontId="0" fillId="10" borderId="0" xfId="0" applyFill="1" applyAlignment="1">
      <alignment horizontal="center" vertical="center" wrapText="1"/>
    </xf>
  </cellXfs>
  <cellStyles count="9">
    <cellStyle name="Comma" xfId="1" builtinId="3"/>
    <cellStyle name="Comma 2" xfId="8"/>
    <cellStyle name="Currency" xfId="2" builtinId="4"/>
    <cellStyle name="Currency 2" xfId="7"/>
    <cellStyle name="Hyperlink" xfId="5" builtinId="8"/>
    <cellStyle name="Normal" xfId="0" builtinId="0"/>
    <cellStyle name="Output" xfId="3" builtinId="21"/>
    <cellStyle name="Percent" xfId="4" builtinId="5"/>
    <cellStyle name="Percent 2" xfId="6"/>
  </cellStyles>
  <dxfs count="9">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
      <font>
        <color theme="7" tint="0.59996337778862885"/>
      </font>
    </dxf>
  </dxfs>
  <tableStyles count="0" defaultTableStyle="TableStyleMedium9" defaultPivotStyle="PivotStyleLight16"/>
  <colors>
    <mruColors>
      <color rgb="FFCCFF99"/>
      <color rgb="FF99FF99"/>
      <color rgb="FF66FF3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0-5CC6-11CF-8D67-00AA00BDCE1D}" ax:persistence="persistStream" r:id="rId1"/>
</file>

<file path=xl/activeX/activeX26.xml><?xml version="1.0" encoding="utf-8"?>
<ax:ocx xmlns:ax="http://schemas.microsoft.com/office/2006/activeX" xmlns:r="http://schemas.openxmlformats.org/officeDocument/2006/relationships" ax:classid="{5512D110-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29.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30.xml><?xml version="1.0" encoding="utf-8"?>
<ax:ocx xmlns:ax="http://schemas.microsoft.com/office/2006/activeX" xmlns:r="http://schemas.openxmlformats.org/officeDocument/2006/relationships" ax:classid="{5512D11C-5CC6-11CF-8D67-00AA00BDCE1D}" ax:persistence="persistStream" r:id="rId1"/>
</file>

<file path=xl/activeX/activeX31.xml><?xml version="1.0" encoding="utf-8"?>
<ax:ocx xmlns:ax="http://schemas.microsoft.com/office/2006/activeX" xmlns:r="http://schemas.openxmlformats.org/officeDocument/2006/relationships" ax:classid="{5512D11C-5CC6-11CF-8D67-00AA00BDCE1D}" ax:persistence="persistStream" r:id="rId1"/>
</file>

<file path=xl/activeX/activeX32.xml><?xml version="1.0" encoding="utf-8"?>
<ax:ocx xmlns:ax="http://schemas.microsoft.com/office/2006/activeX" xmlns:r="http://schemas.openxmlformats.org/officeDocument/2006/relationships" ax:classid="{5512D11C-5CC6-11CF-8D67-00AA00BDCE1D}" ax:persistence="persistStream" r:id="rId1"/>
</file>

<file path=xl/activeX/activeX33.xml><?xml version="1.0" encoding="utf-8"?>
<ax:ocx xmlns:ax="http://schemas.microsoft.com/office/2006/activeX" xmlns:r="http://schemas.openxmlformats.org/officeDocument/2006/relationships" ax:classid="{5512D11C-5CC6-11CF-8D67-00AA00BDCE1D}" ax:persistence="persistStream" r:id="rId1"/>
</file>

<file path=xl/activeX/activeX34.xml><?xml version="1.0" encoding="utf-8"?>
<ax:ocx xmlns:ax="http://schemas.microsoft.com/office/2006/activeX" xmlns:r="http://schemas.openxmlformats.org/officeDocument/2006/relationships" ax:classid="{5512D11C-5CC6-11CF-8D67-00AA00BDCE1D}" ax:persistence="persistStream" r:id="rId1"/>
</file>

<file path=xl/activeX/activeX35.xml><?xml version="1.0" encoding="utf-8"?>
<ax:ocx xmlns:ax="http://schemas.microsoft.com/office/2006/activeX" xmlns:r="http://schemas.openxmlformats.org/officeDocument/2006/relationships" ax:classid="{5512D11C-5CC6-11CF-8D67-00AA00BDCE1D}" ax:persistence="persistStream" r:id="rId1"/>
</file>

<file path=xl/activeX/activeX36.xml><?xml version="1.0" encoding="utf-8"?>
<ax:ocx xmlns:ax="http://schemas.microsoft.com/office/2006/activeX" xmlns:r="http://schemas.openxmlformats.org/officeDocument/2006/relationships" ax:classid="{5512D11C-5CC6-11CF-8D67-00AA00BDCE1D}" ax:persistence="persistStream" r:id="rId1"/>
</file>

<file path=xl/activeX/activeX37.xml><?xml version="1.0" encoding="utf-8"?>
<ax:ocx xmlns:ax="http://schemas.microsoft.com/office/2006/activeX" xmlns:r="http://schemas.openxmlformats.org/officeDocument/2006/relationships" ax:classid="{5512D110-5CC6-11CF-8D67-00AA00BDCE1D}" ax:persistence="persistStream" r:id="rId1"/>
</file>

<file path=xl/activeX/activeX38.xml><?xml version="1.0" encoding="utf-8"?>
<ax:ocx xmlns:ax="http://schemas.microsoft.com/office/2006/activeX" xmlns:r="http://schemas.openxmlformats.org/officeDocument/2006/relationships" ax:classid="{5512D110-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barChart>
        <c:barDir val="bar"/>
        <c:grouping val="stacked"/>
        <c:ser>
          <c:idx val="0"/>
          <c:order val="0"/>
          <c:tx>
            <c:strRef>
              <c:f>'A-Output-Cons Acts Impacts'!$B$5</c:f>
              <c:strCache>
                <c:ptCount val="1"/>
                <c:pt idx="0">
                  <c:v>Percentage</c:v>
                </c:pt>
              </c:strCache>
            </c:strRef>
          </c:tx>
          <c:dLbls>
            <c:dLblPos val="inBase"/>
            <c:showVal val="1"/>
          </c:dLbls>
          <c:cat>
            <c:strRef>
              <c:f>'A-Output-Cons Acts Impacts'!$A$6:$A$17</c:f>
              <c:strCache>
                <c:ptCount val="12"/>
                <c:pt idx="0">
                  <c:v>Inflow &amp; Infiltration Reduction Opportunities</c:v>
                </c:pt>
                <c:pt idx="1">
                  <c:v>Leak Detection and Repair of Water Distribution System</c:v>
                </c:pt>
                <c:pt idx="2">
                  <c:v>Residential Toilet Change out Program</c:v>
                </c:pt>
                <c:pt idx="3">
                  <c:v>Residential Showerhead Replacement Program</c:v>
                </c:pt>
                <c:pt idx="4">
                  <c:v>High Efficiency Residential Washing Machine Replacement Program</c:v>
                </c:pt>
                <c:pt idx="5">
                  <c:v>Outdoor Water Use</c:v>
                </c:pt>
                <c:pt idx="6">
                  <c:v>Residential Water Audit Program</c:v>
                </c:pt>
                <c:pt idx="7">
                  <c:v>Commercial Industrial Laundromat Washer Replacement Program</c:v>
                </c:pt>
                <c:pt idx="8">
                  <c:v>Commercial and Industrial Toilet Replacement program</c:v>
                </c:pt>
                <c:pt idx="9">
                  <c:v>Commercial and Industrial Urinal Replacement program</c:v>
                </c:pt>
                <c:pt idx="10">
                  <c:v>Commercial and Industrial Dishwasher Replacement Program</c:v>
                </c:pt>
                <c:pt idx="11">
                  <c:v>Kitchen Food Steamer Replacement Program</c:v>
                </c:pt>
              </c:strCache>
            </c:strRef>
          </c:cat>
          <c:val>
            <c:numRef>
              <c:f>'A-Output-Cons Acts Impacts'!$B$6:$B$17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overlap val="100"/>
        <c:axId val="110082688"/>
        <c:axId val="110088576"/>
      </c:barChart>
      <c:catAx>
        <c:axId val="110082688"/>
        <c:scaling>
          <c:orientation val="minMax"/>
        </c:scaling>
        <c:axPos val="l"/>
        <c:tickLblPos val="nextTo"/>
        <c:crossAx val="110088576"/>
        <c:crosses val="autoZero"/>
        <c:auto val="1"/>
        <c:lblAlgn val="ctr"/>
        <c:lblOffset val="100"/>
      </c:catAx>
      <c:valAx>
        <c:axId val="110088576"/>
        <c:scaling>
          <c:orientation val="minMax"/>
        </c:scaling>
        <c:axPos val="b"/>
        <c:majorGridlines/>
        <c:numFmt formatCode="0%" sourceLinked="1"/>
        <c:tickLblPos val="nextTo"/>
        <c:crossAx val="110082688"/>
        <c:crosses val="autoZero"/>
        <c:crossBetween val="between"/>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'Reduced Emis Val-Options'!$B$47</c:f>
              <c:strCache>
                <c:ptCount val="1"/>
                <c:pt idx="0">
                  <c:v>Price per Ton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Val-Options'!$B$48:$B$62</c:f>
              <c:numCache>
                <c:formatCode>_("$"* #,##0.00_);_("$"* \(#,##0.00\);_("$"* "-"??_);_(@_)</c:formatCode>
                <c:ptCount val="15"/>
                <c:pt idx="0">
                  <c:v>0.1</c:v>
                </c:pt>
                <c:pt idx="1">
                  <c:v>0.25</c:v>
                </c:pt>
                <c:pt idx="2">
                  <c:v>1</c:v>
                </c:pt>
                <c:pt idx="3">
                  <c:v>2</c:v>
                </c:pt>
                <c:pt idx="4">
                  <c:v>5</c:v>
                </c:pt>
                <c:pt idx="5">
                  <c:v>7.5</c:v>
                </c:pt>
                <c:pt idx="6">
                  <c:v>10</c:v>
                </c:pt>
                <c:pt idx="7">
                  <c:v>15</c:v>
                </c:pt>
                <c:pt idx="8">
                  <c:v>20</c:v>
                </c:pt>
                <c:pt idx="9">
                  <c:v>25</c:v>
                </c:pt>
                <c:pt idx="10">
                  <c:v>30</c:v>
                </c:pt>
                <c:pt idx="11">
                  <c:v>35</c:v>
                </c:pt>
                <c:pt idx="12">
                  <c:v>40</c:v>
                </c:pt>
                <c:pt idx="13">
                  <c:v>45</c:v>
                </c:pt>
                <c:pt idx="14">
                  <c:v>50</c:v>
                </c:pt>
              </c:numCache>
            </c:numRef>
          </c:val>
        </c:ser>
        <c:ser>
          <c:idx val="1"/>
          <c:order val="1"/>
          <c:tx>
            <c:strRef>
              <c:f>'Reduced Emis Val-Options'!$C$47</c:f>
              <c:strCache>
                <c:ptCount val="1"/>
                <c:pt idx="0">
                  <c:v>MROE -Wisconsin and Michigan Upper Peninsula</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Val-Options'!$C$48:$C$62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'Reduced Emis Val-Options'!$D$47</c:f>
              <c:strCache>
                <c:ptCount val="1"/>
                <c:pt idx="0">
                  <c:v>RFCM - Michigan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Val-Options'!$D$48:$D$62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3"/>
          <c:order val="3"/>
          <c:tx>
            <c:strRef>
              <c:f>'Reduced Emis Val-Options'!$E$47</c:f>
              <c:strCache>
                <c:ptCount val="1"/>
                <c:pt idx="0">
                  <c:v>RFCW - IL, OH, IN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Val-Options'!$E$48:$E$62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4"/>
          <c:order val="4"/>
          <c:tx>
            <c:strRef>
              <c:f>'Reduced Emis Val-Options'!$F$47</c:f>
              <c:strCache>
                <c:ptCount val="1"/>
                <c:pt idx="0">
                  <c:v>NYUP - NY</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Val-Options'!$F$48:$F$62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5"/>
          <c:order val="5"/>
          <c:tx>
            <c:strRef>
              <c:f>'Reduced Emis Val-Options'!$G$47</c:f>
              <c:strCache>
                <c:ptCount val="1"/>
                <c:pt idx="0">
                  <c:v>MROW- MN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Val-Options'!$G$48:$G$62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marker val="1"/>
        <c:axId val="113648768"/>
        <c:axId val="113650304"/>
      </c:lineChart>
      <c:catAx>
        <c:axId val="113648768"/>
        <c:scaling>
          <c:orientation val="minMax"/>
        </c:scaling>
        <c:axPos val="b"/>
        <c:numFmt formatCode="General" sourceLinked="1"/>
        <c:tickLblPos val="nextTo"/>
        <c:crossAx val="113650304"/>
        <c:crosses val="autoZero"/>
        <c:auto val="1"/>
        <c:lblAlgn val="ctr"/>
        <c:lblOffset val="100"/>
      </c:catAx>
      <c:valAx>
        <c:axId val="113650304"/>
        <c:scaling>
          <c:orientation val="minMax"/>
        </c:scaling>
        <c:axPos val="l"/>
        <c:majorGridlines/>
        <c:numFmt formatCode="_(&quot;$&quot;* #,##0.00_);_(&quot;$&quot;* \(#,##0.00\);_(&quot;$&quot;* &quot;-&quot;??_);_(@_)" sourceLinked="1"/>
        <c:tickLblPos val="nextTo"/>
        <c:crossAx val="113648768"/>
        <c:crosses val="autoZero"/>
        <c:crossBetween val="between"/>
      </c:valAx>
    </c:plotArea>
    <c:legend>
      <c:legendPos val="r"/>
      <c:legendEntry>
        <c:idx val="0"/>
        <c:delete val="1"/>
      </c:legendEntry>
    </c:legend>
    <c:plotVisOnly val="1"/>
    <c:dispBlanksAs val="gap"/>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'Reduced Emis Val-Options'!$B$47</c:f>
              <c:strCache>
                <c:ptCount val="1"/>
                <c:pt idx="0">
                  <c:v>Price per Ton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Val-Options'!$B$48:$B$62</c:f>
              <c:numCache>
                <c:formatCode>_("$"* #,##0.00_);_("$"* \(#,##0.00\);_("$"* "-"??_);_(@_)</c:formatCode>
                <c:ptCount val="15"/>
                <c:pt idx="0">
                  <c:v>0.1</c:v>
                </c:pt>
                <c:pt idx="1">
                  <c:v>0.25</c:v>
                </c:pt>
                <c:pt idx="2">
                  <c:v>1</c:v>
                </c:pt>
                <c:pt idx="3">
                  <c:v>2</c:v>
                </c:pt>
                <c:pt idx="4">
                  <c:v>5</c:v>
                </c:pt>
                <c:pt idx="5">
                  <c:v>7.5</c:v>
                </c:pt>
                <c:pt idx="6">
                  <c:v>10</c:v>
                </c:pt>
                <c:pt idx="7">
                  <c:v>15</c:v>
                </c:pt>
                <c:pt idx="8">
                  <c:v>20</c:v>
                </c:pt>
                <c:pt idx="9">
                  <c:v>25</c:v>
                </c:pt>
                <c:pt idx="10">
                  <c:v>30</c:v>
                </c:pt>
                <c:pt idx="11">
                  <c:v>35</c:v>
                </c:pt>
                <c:pt idx="12">
                  <c:v>40</c:v>
                </c:pt>
                <c:pt idx="13">
                  <c:v>45</c:v>
                </c:pt>
                <c:pt idx="14">
                  <c:v>50</c:v>
                </c:pt>
              </c:numCache>
            </c:numRef>
          </c:val>
        </c:ser>
        <c:ser>
          <c:idx val="1"/>
          <c:order val="1"/>
          <c:tx>
            <c:strRef>
              <c:f>'Reduced Emis Val-Options'!$C$47</c:f>
              <c:strCache>
                <c:ptCount val="1"/>
                <c:pt idx="0">
                  <c:v>MROE -Wisconsin and Michigan Upper Peninsula</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Val-Options'!$C$48:$C$62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'Reduced Emis Val-Options'!$D$47</c:f>
              <c:strCache>
                <c:ptCount val="1"/>
                <c:pt idx="0">
                  <c:v>RFCM - Michigan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Val-Options'!$D$48:$D$62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3"/>
          <c:order val="3"/>
          <c:tx>
            <c:strRef>
              <c:f>'Reduced Emis Val-Options'!$E$47</c:f>
              <c:strCache>
                <c:ptCount val="1"/>
                <c:pt idx="0">
                  <c:v>RFCW - IL, OH, IN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Val-Options'!$E$48:$E$62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4"/>
          <c:order val="4"/>
          <c:tx>
            <c:strRef>
              <c:f>'Reduced Emis Val-Options'!$F$47</c:f>
              <c:strCache>
                <c:ptCount val="1"/>
                <c:pt idx="0">
                  <c:v>NYUP - NY</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Val-Options'!$F$48:$F$62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5"/>
          <c:order val="5"/>
          <c:tx>
            <c:strRef>
              <c:f>'Reduced Emis Val-Options'!$G$47</c:f>
              <c:strCache>
                <c:ptCount val="1"/>
                <c:pt idx="0">
                  <c:v>MROW- MN</c:v>
                </c:pt>
              </c:strCache>
            </c:strRef>
          </c:tx>
          <c:marker>
            <c:symbol val="none"/>
          </c:marker>
          <c:cat>
            <c:strRef>
              <c:f>'Reduced Emis Val-Options'!$B$47:$B$62</c:f>
              <c:strCache>
                <c:ptCount val="16"/>
                <c:pt idx="0">
                  <c:v>Price per Ton</c:v>
                </c:pt>
                <c:pt idx="1">
                  <c:v> $0.10 </c:v>
                </c:pt>
                <c:pt idx="2">
                  <c:v> $0.25 </c:v>
                </c:pt>
                <c:pt idx="3">
                  <c:v> $1.00 </c:v>
                </c:pt>
                <c:pt idx="4">
                  <c:v> $2.00 </c:v>
                </c:pt>
                <c:pt idx="5">
                  <c:v> $5.00 </c:v>
                </c:pt>
                <c:pt idx="6">
                  <c:v> $7.50 </c:v>
                </c:pt>
                <c:pt idx="7">
                  <c:v> $10.00 </c:v>
                </c:pt>
                <c:pt idx="8">
                  <c:v> $15.00 </c:v>
                </c:pt>
                <c:pt idx="9">
                  <c:v> $20.00 </c:v>
                </c:pt>
                <c:pt idx="10">
                  <c:v> $25.00 </c:v>
                </c:pt>
                <c:pt idx="11">
                  <c:v> $30.00 </c:v>
                </c:pt>
                <c:pt idx="12">
                  <c:v> $35.00 </c:v>
                </c:pt>
                <c:pt idx="13">
                  <c:v> $40.00 </c:v>
                </c:pt>
                <c:pt idx="14">
                  <c:v> $45.00 </c:v>
                </c:pt>
                <c:pt idx="15">
                  <c:v> $50.00 </c:v>
                </c:pt>
              </c:strCache>
            </c:strRef>
          </c:cat>
          <c:val>
            <c:numRef>
              <c:f>'Reduced Emis Val-Options'!$G$48:$G$62</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marker val="1"/>
        <c:axId val="114793856"/>
        <c:axId val="114799744"/>
      </c:lineChart>
      <c:catAx>
        <c:axId val="114793856"/>
        <c:scaling>
          <c:orientation val="minMax"/>
        </c:scaling>
        <c:axPos val="b"/>
        <c:numFmt formatCode="General" sourceLinked="1"/>
        <c:tickLblPos val="nextTo"/>
        <c:crossAx val="114799744"/>
        <c:crosses val="autoZero"/>
        <c:auto val="1"/>
        <c:lblAlgn val="ctr"/>
        <c:lblOffset val="100"/>
      </c:catAx>
      <c:valAx>
        <c:axId val="114799744"/>
        <c:scaling>
          <c:orientation val="minMax"/>
        </c:scaling>
        <c:axPos val="l"/>
        <c:majorGridlines/>
        <c:numFmt formatCode="_(&quot;$&quot;* #,##0.00_);_(&quot;$&quot;* \(#,##0.00\);_(&quot;$&quot;* &quot;-&quot;??_);_(@_)" sourceLinked="1"/>
        <c:tickLblPos val="nextTo"/>
        <c:crossAx val="114793856"/>
        <c:crosses val="autoZero"/>
        <c:crossBetween val="between"/>
      </c:valAx>
    </c:plotArea>
    <c:legend>
      <c:legendPos val="r"/>
      <c:legendEntry>
        <c:idx val="0"/>
        <c:delete val="1"/>
      </c:legendEntry>
    </c:legend>
    <c:plotVisOnly val="1"/>
    <c:dispBlanksAs val="gap"/>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cked"/>
        <c:ser>
          <c:idx val="1"/>
          <c:order val="0"/>
          <c:tx>
            <c:strRef>
              <c:f>'A-Carbon Credit Value Scenarios'!$C$6</c:f>
              <c:strCache>
                <c:ptCount val="1"/>
                <c:pt idx="0">
                  <c:v>Value of Credits</c:v>
                </c:pt>
              </c:strCache>
            </c:strRef>
          </c:tx>
          <c:cat>
            <c:numRef>
              <c:f>'A-Carbon Credit Value Scenarios'!$B$7:$B$16</c:f>
              <c:numCache>
                <c:formatCode>"$"#,##0.00</c:formatCode>
                <c:ptCount val="10"/>
                <c:pt idx="0">
                  <c:v>0.05</c:v>
                </c:pt>
                <c:pt idx="1">
                  <c:v>0.25</c:v>
                </c:pt>
                <c:pt idx="2" formatCode="&quot;$&quot;#,##0">
                  <c:v>1</c:v>
                </c:pt>
                <c:pt idx="3" formatCode="&quot;$&quot;#,##0">
                  <c:v>5</c:v>
                </c:pt>
                <c:pt idx="4" formatCode="&quot;$&quot;#,##0">
                  <c:v>10</c:v>
                </c:pt>
                <c:pt idx="5" formatCode="&quot;$&quot;#,##0">
                  <c:v>15</c:v>
                </c:pt>
                <c:pt idx="6" formatCode="&quot;$&quot;#,##0">
                  <c:v>20</c:v>
                </c:pt>
                <c:pt idx="7" formatCode="&quot;$&quot;#,##0">
                  <c:v>25</c:v>
                </c:pt>
                <c:pt idx="8" formatCode="&quot;$&quot;#,##0">
                  <c:v>30</c:v>
                </c:pt>
                <c:pt idx="9" formatCode="&quot;$&quot;#,##0">
                  <c:v>35</c:v>
                </c:pt>
              </c:numCache>
            </c:numRef>
          </c:cat>
          <c:val>
            <c:numRef>
              <c:f>'A-Carbon Credit Value Scenarios'!$C$7:$C$16</c:f>
              <c:numCache>
                <c:formatCode>_("$"* #,##0_);_("$"* \(#,##0\);_("$"* "-"??_);_(@_)</c:formatCode>
                <c:ptCount val="10"/>
                <c:pt idx="0">
                  <c:v>0</c:v>
                </c:pt>
                <c:pt idx="1">
                  <c:v>0</c:v>
                </c:pt>
                <c:pt idx="2">
                  <c:v>0</c:v>
                </c:pt>
                <c:pt idx="3">
                  <c:v>0</c:v>
                </c:pt>
                <c:pt idx="4">
                  <c:v>0</c:v>
                </c:pt>
                <c:pt idx="5">
                  <c:v>0</c:v>
                </c:pt>
                <c:pt idx="6">
                  <c:v>0</c:v>
                </c:pt>
                <c:pt idx="7">
                  <c:v>0</c:v>
                </c:pt>
                <c:pt idx="8">
                  <c:v>0</c:v>
                </c:pt>
                <c:pt idx="9">
                  <c:v>0</c:v>
                </c:pt>
              </c:numCache>
            </c:numRef>
          </c:val>
        </c:ser>
        <c:marker val="1"/>
        <c:axId val="115070080"/>
        <c:axId val="115072000"/>
      </c:lineChart>
      <c:catAx>
        <c:axId val="115070080"/>
        <c:scaling>
          <c:orientation val="minMax"/>
        </c:scaling>
        <c:axPos val="b"/>
        <c:title>
          <c:tx>
            <c:rich>
              <a:bodyPr/>
              <a:lstStyle/>
              <a:p>
                <a:pPr>
                  <a:defRPr/>
                </a:pPr>
                <a:r>
                  <a:rPr lang="en-US"/>
                  <a:t>Price per Ton</a:t>
                </a:r>
              </a:p>
            </c:rich>
          </c:tx>
        </c:title>
        <c:numFmt formatCode="&quot;$&quot;#,##0.00" sourceLinked="1"/>
        <c:tickLblPos val="nextTo"/>
        <c:crossAx val="115072000"/>
        <c:crosses val="autoZero"/>
        <c:auto val="1"/>
        <c:lblAlgn val="ctr"/>
        <c:lblOffset val="100"/>
      </c:catAx>
      <c:valAx>
        <c:axId val="115072000"/>
        <c:scaling>
          <c:orientation val="minMax"/>
        </c:scaling>
        <c:axPos val="l"/>
        <c:majorGridlines/>
        <c:title>
          <c:tx>
            <c:rich>
              <a:bodyPr rot="-5400000" vert="horz"/>
              <a:lstStyle/>
              <a:p>
                <a:pPr>
                  <a:defRPr/>
                </a:pPr>
                <a:r>
                  <a:rPr lang="en-US"/>
                  <a:t>Value of Credits</a:t>
                </a:r>
              </a:p>
            </c:rich>
          </c:tx>
        </c:title>
        <c:numFmt formatCode="_(&quot;$&quot;* #,##0_);_(&quot;$&quot;* \(#,##0\);_(&quot;$&quot;* &quot;-&quot;??_);_(@_)" sourceLinked="1"/>
        <c:tickLblPos val="nextTo"/>
        <c:crossAx val="115070080"/>
        <c:crosses val="autoZero"/>
        <c:crossBetween val="between"/>
      </c:valAx>
    </c:plotArea>
    <c:plotVisOnly val="1"/>
  </c:chart>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Water Distributed-Wastewater Treated</a:t>
            </a:r>
          </a:p>
        </c:rich>
      </c:tx>
    </c:title>
    <c:plotArea>
      <c:layout/>
      <c:lineChart>
        <c:grouping val="standard"/>
        <c:ser>
          <c:idx val="0"/>
          <c:order val="0"/>
          <c:tx>
            <c:v>Water</c:v>
          </c:tx>
          <c:cat>
            <c:numRef>
              <c:f>'C-Output-Annual Emissions'!$B$5:$E$5</c:f>
              <c:numCache>
                <c:formatCode>General</c:formatCode>
                <c:ptCount val="4"/>
                <c:pt idx="0">
                  <c:v>0</c:v>
                </c:pt>
                <c:pt idx="1">
                  <c:v>0</c:v>
                </c:pt>
                <c:pt idx="2">
                  <c:v>0</c:v>
                </c:pt>
                <c:pt idx="3">
                  <c:v>0</c:v>
                </c:pt>
              </c:numCache>
            </c:numRef>
          </c:cat>
          <c:val>
            <c:numRef>
              <c:f>'C-Input-Annual Water Use'!$C$7:$C$10</c:f>
              <c:numCache>
                <c:formatCode>_(* #,##0_);_(* \(#,##0\);_(* "-"??_);_(@_)</c:formatCode>
                <c:ptCount val="4"/>
              </c:numCache>
            </c:numRef>
          </c:val>
        </c:ser>
        <c:ser>
          <c:idx val="1"/>
          <c:order val="1"/>
          <c:tx>
            <c:v>Wastewater</c:v>
          </c:tx>
          <c:cat>
            <c:numRef>
              <c:f>'C-Output-Annual Emissions'!$B$5:$E$5</c:f>
              <c:numCache>
                <c:formatCode>General</c:formatCode>
                <c:ptCount val="4"/>
                <c:pt idx="0">
                  <c:v>0</c:v>
                </c:pt>
                <c:pt idx="1">
                  <c:v>0</c:v>
                </c:pt>
                <c:pt idx="2">
                  <c:v>0</c:v>
                </c:pt>
                <c:pt idx="3">
                  <c:v>0</c:v>
                </c:pt>
              </c:numCache>
            </c:numRef>
          </c:cat>
          <c:val>
            <c:numRef>
              <c:f>'C-Input-Annual Water Use'!$C$13:$C$16</c:f>
              <c:numCache>
                <c:formatCode>_(* #,##0_);_(* \(#,##0\);_(* "-"??_);_(@_)</c:formatCode>
                <c:ptCount val="4"/>
              </c:numCache>
            </c:numRef>
          </c:val>
        </c:ser>
        <c:marker val="1"/>
        <c:axId val="115396608"/>
        <c:axId val="115398144"/>
      </c:lineChart>
      <c:catAx>
        <c:axId val="115396608"/>
        <c:scaling>
          <c:orientation val="minMax"/>
        </c:scaling>
        <c:axPos val="b"/>
        <c:numFmt formatCode="General" sourceLinked="1"/>
        <c:majorTickMark val="none"/>
        <c:tickLblPos val="nextTo"/>
        <c:crossAx val="115398144"/>
        <c:crosses val="autoZero"/>
        <c:auto val="1"/>
        <c:lblAlgn val="ctr"/>
        <c:lblOffset val="100"/>
      </c:catAx>
      <c:valAx>
        <c:axId val="115398144"/>
        <c:scaling>
          <c:orientation val="minMax"/>
          <c:max val="8000000000"/>
          <c:min val="4000000000"/>
        </c:scaling>
        <c:axPos val="l"/>
        <c:majorGridlines/>
        <c:title>
          <c:tx>
            <c:rich>
              <a:bodyPr/>
              <a:lstStyle/>
              <a:p>
                <a:pPr>
                  <a:defRPr/>
                </a:pPr>
                <a:r>
                  <a:rPr lang="en-US"/>
                  <a:t>Gallons</a:t>
                </a:r>
              </a:p>
            </c:rich>
          </c:tx>
        </c:title>
        <c:numFmt formatCode="_(* #,##0_);_(* \(#,##0\);_(* &quot;-&quot;??_);_(@_)" sourceLinked="1"/>
        <c:majorTickMark val="none"/>
        <c:tickLblPos val="nextTo"/>
        <c:crossAx val="115396608"/>
        <c:crosses val="autoZero"/>
        <c:crossBetween val="between"/>
        <c:majorUnit val="1000000000"/>
      </c:valAx>
    </c:plotArea>
    <c:legend>
      <c:legendPos val="r"/>
    </c:legend>
    <c:plotVisOnly val="1"/>
    <c:dispBlanksAs val="gap"/>
  </c:chart>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Power Usage</a:t>
            </a:r>
          </a:p>
        </c:rich>
      </c:tx>
    </c:title>
    <c:plotArea>
      <c:layout/>
      <c:lineChart>
        <c:grouping val="standard"/>
        <c:ser>
          <c:idx val="0"/>
          <c:order val="0"/>
          <c:tx>
            <c:v>Water</c:v>
          </c:tx>
          <c:cat>
            <c:numRef>
              <c:f>'C-Output-Annual Emissions'!$B$5:$E$5</c:f>
              <c:numCache>
                <c:formatCode>General</c:formatCode>
                <c:ptCount val="4"/>
                <c:pt idx="0">
                  <c:v>0</c:v>
                </c:pt>
                <c:pt idx="1">
                  <c:v>0</c:v>
                </c:pt>
                <c:pt idx="2">
                  <c:v>0</c:v>
                </c:pt>
                <c:pt idx="3">
                  <c:v>0</c:v>
                </c:pt>
              </c:numCache>
            </c:numRef>
          </c:cat>
          <c:val>
            <c:numRef>
              <c:f>'C-Input-Annual Water Use'!$C$19:$C$22</c:f>
              <c:numCache>
                <c:formatCode>_(* #,##0_);_(* \(#,##0\);_(* "-"??_);_(@_)</c:formatCode>
                <c:ptCount val="4"/>
              </c:numCache>
            </c:numRef>
          </c:val>
        </c:ser>
        <c:ser>
          <c:idx val="1"/>
          <c:order val="1"/>
          <c:tx>
            <c:v>Wastewater</c:v>
          </c:tx>
          <c:cat>
            <c:numRef>
              <c:f>'C-Output-Annual Emissions'!$B$5:$E$5</c:f>
              <c:numCache>
                <c:formatCode>General</c:formatCode>
                <c:ptCount val="4"/>
                <c:pt idx="0">
                  <c:v>0</c:v>
                </c:pt>
                <c:pt idx="1">
                  <c:v>0</c:v>
                </c:pt>
                <c:pt idx="2">
                  <c:v>0</c:v>
                </c:pt>
                <c:pt idx="3">
                  <c:v>0</c:v>
                </c:pt>
              </c:numCache>
            </c:numRef>
          </c:cat>
          <c:val>
            <c:numRef>
              <c:f>'C-Input-Annual Water Use'!$C$25:$C$28</c:f>
              <c:numCache>
                <c:formatCode>#,##0</c:formatCode>
                <c:ptCount val="4"/>
              </c:numCache>
            </c:numRef>
          </c:val>
        </c:ser>
        <c:marker val="1"/>
        <c:axId val="117577984"/>
        <c:axId val="117596160"/>
      </c:lineChart>
      <c:catAx>
        <c:axId val="117577984"/>
        <c:scaling>
          <c:orientation val="minMax"/>
        </c:scaling>
        <c:axPos val="b"/>
        <c:numFmt formatCode="General" sourceLinked="1"/>
        <c:majorTickMark val="none"/>
        <c:tickLblPos val="nextTo"/>
        <c:crossAx val="117596160"/>
        <c:crosses val="autoZero"/>
        <c:auto val="1"/>
        <c:lblAlgn val="ctr"/>
        <c:lblOffset val="100"/>
      </c:catAx>
      <c:valAx>
        <c:axId val="117596160"/>
        <c:scaling>
          <c:orientation val="minMax"/>
          <c:max val="14000000"/>
          <c:min val="11000000"/>
        </c:scaling>
        <c:axPos val="l"/>
        <c:majorGridlines/>
        <c:title>
          <c:tx>
            <c:rich>
              <a:bodyPr/>
              <a:lstStyle/>
              <a:p>
                <a:pPr>
                  <a:defRPr/>
                </a:pPr>
                <a:r>
                  <a:rPr lang="en-US"/>
                  <a:t>kWH</a:t>
                </a:r>
              </a:p>
            </c:rich>
          </c:tx>
        </c:title>
        <c:numFmt formatCode="_(* #,##0_);_(* \(#,##0\);_(* &quot;-&quot;??_);_(@_)" sourceLinked="1"/>
        <c:majorTickMark val="none"/>
        <c:tickLblPos val="nextTo"/>
        <c:crossAx val="117577984"/>
        <c:crosses val="autoZero"/>
        <c:crossBetween val="between"/>
        <c:majorUnit val="500000"/>
      </c:valAx>
    </c:plotArea>
    <c:legend>
      <c:legendPos val="r"/>
    </c:legend>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Carbon Emissions</a:t>
            </a:r>
          </a:p>
        </c:rich>
      </c:tx>
    </c:title>
    <c:plotArea>
      <c:layout/>
      <c:lineChart>
        <c:grouping val="standard"/>
        <c:ser>
          <c:idx val="0"/>
          <c:order val="0"/>
          <c:tx>
            <c:v>Water</c:v>
          </c:tx>
          <c:cat>
            <c:numRef>
              <c:f>'C-Output-Annual Emissions'!$B$5:$E$5</c:f>
              <c:numCache>
                <c:formatCode>General</c:formatCode>
                <c:ptCount val="4"/>
                <c:pt idx="0">
                  <c:v>0</c:v>
                </c:pt>
                <c:pt idx="1">
                  <c:v>0</c:v>
                </c:pt>
                <c:pt idx="2">
                  <c:v>0</c:v>
                </c:pt>
                <c:pt idx="3">
                  <c:v>0</c:v>
                </c:pt>
              </c:numCache>
            </c:numRef>
          </c:cat>
          <c:val>
            <c:numRef>
              <c:f>'C-Output-Annual Emissions'!$B$6:$E$6</c:f>
              <c:numCache>
                <c:formatCode>_(* #,##0_);_(* \(#,##0\);_(* "-"??_);_(@_)</c:formatCode>
                <c:ptCount val="4"/>
                <c:pt idx="0">
                  <c:v>0</c:v>
                </c:pt>
                <c:pt idx="1">
                  <c:v>0</c:v>
                </c:pt>
                <c:pt idx="2">
                  <c:v>0</c:v>
                </c:pt>
                <c:pt idx="3">
                  <c:v>0</c:v>
                </c:pt>
              </c:numCache>
            </c:numRef>
          </c:val>
        </c:ser>
        <c:ser>
          <c:idx val="1"/>
          <c:order val="1"/>
          <c:tx>
            <c:v>Wastewater</c:v>
          </c:tx>
          <c:cat>
            <c:numRef>
              <c:f>'C-Output-Annual Emissions'!$B$5:$E$5</c:f>
              <c:numCache>
                <c:formatCode>General</c:formatCode>
                <c:ptCount val="4"/>
                <c:pt idx="0">
                  <c:v>0</c:v>
                </c:pt>
                <c:pt idx="1">
                  <c:v>0</c:v>
                </c:pt>
                <c:pt idx="2">
                  <c:v>0</c:v>
                </c:pt>
                <c:pt idx="3">
                  <c:v>0</c:v>
                </c:pt>
              </c:numCache>
            </c:numRef>
          </c:cat>
          <c:val>
            <c:numRef>
              <c:f>'C-Output-Annual Emissions'!$B$17:$E$17</c:f>
              <c:numCache>
                <c:formatCode>_(* #,##0_);_(* \(#,##0\);_(* "-"??_);_(@_)</c:formatCode>
                <c:ptCount val="4"/>
                <c:pt idx="0">
                  <c:v>0</c:v>
                </c:pt>
                <c:pt idx="1">
                  <c:v>0</c:v>
                </c:pt>
                <c:pt idx="2">
                  <c:v>0</c:v>
                </c:pt>
                <c:pt idx="3">
                  <c:v>0</c:v>
                </c:pt>
              </c:numCache>
            </c:numRef>
          </c:val>
        </c:ser>
        <c:marker val="1"/>
        <c:axId val="117842688"/>
        <c:axId val="117844224"/>
      </c:lineChart>
      <c:catAx>
        <c:axId val="117842688"/>
        <c:scaling>
          <c:orientation val="minMax"/>
        </c:scaling>
        <c:axPos val="b"/>
        <c:numFmt formatCode="General" sourceLinked="1"/>
        <c:majorTickMark val="none"/>
        <c:tickLblPos val="nextTo"/>
        <c:crossAx val="117844224"/>
        <c:crosses val="autoZero"/>
        <c:auto val="1"/>
        <c:lblAlgn val="ctr"/>
        <c:lblOffset val="100"/>
      </c:catAx>
      <c:valAx>
        <c:axId val="117844224"/>
        <c:scaling>
          <c:orientation val="minMax"/>
        </c:scaling>
        <c:axPos val="l"/>
        <c:majorGridlines/>
        <c:title>
          <c:tx>
            <c:rich>
              <a:bodyPr/>
              <a:lstStyle/>
              <a:p>
                <a:pPr>
                  <a:defRPr/>
                </a:pPr>
                <a:r>
                  <a:rPr lang="en-US"/>
                  <a:t>Pounds</a:t>
                </a:r>
              </a:p>
            </c:rich>
          </c:tx>
        </c:title>
        <c:numFmt formatCode="_(* #,##0_);_(* \(#,##0\);_(* &quot;-&quot;??_);_(@_)" sourceLinked="1"/>
        <c:majorTickMark val="none"/>
        <c:tickLblPos val="nextTo"/>
        <c:crossAx val="117842688"/>
        <c:crosses val="autoZero"/>
        <c:crossBetween val="between"/>
      </c:valAx>
    </c:plotArea>
    <c:legend>
      <c:legendPos val="r"/>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133351</xdr:rowOff>
    </xdr:from>
    <xdr:to>
      <xdr:col>0</xdr:col>
      <xdr:colOff>2800350</xdr:colOff>
      <xdr:row>4</xdr:row>
      <xdr:rowOff>171450</xdr:rowOff>
    </xdr:to>
    <xdr:pic>
      <xdr:nvPicPr>
        <xdr:cNvPr id="3" name="Picture 2"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95250" y="133351"/>
          <a:ext cx="2705100" cy="8000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17</xdr:row>
      <xdr:rowOff>171450</xdr:rowOff>
    </xdr:from>
    <xdr:to>
      <xdr:col>4</xdr:col>
      <xdr:colOff>590550</xdr:colOff>
      <xdr:row>32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276225</xdr:colOff>
      <xdr:row>3</xdr:row>
      <xdr:rowOff>19050</xdr:rowOff>
    </xdr:from>
    <xdr:to>
      <xdr:col>10</xdr:col>
      <xdr:colOff>323850</xdr:colOff>
      <xdr:row>17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266700</xdr:colOff>
      <xdr:row>18</xdr:row>
      <xdr:rowOff>76200</xdr:rowOff>
    </xdr:from>
    <xdr:to>
      <xdr:col>10</xdr:col>
      <xdr:colOff>333375</xdr:colOff>
      <xdr:row>31</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295274</xdr:colOff>
      <xdr:row>32</xdr:row>
      <xdr:rowOff>152400</xdr:rowOff>
    </xdr:from>
    <xdr:to>
      <xdr:col>10</xdr:col>
      <xdr:colOff>361950</xdr:colOff>
      <xdr:row>45</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161926</xdr:colOff>
      <xdr:row>0</xdr:row>
      <xdr:rowOff>0</xdr:rowOff>
    </xdr:from>
    <xdr:to>
      <xdr:col>11</xdr:col>
      <xdr:colOff>152400</xdr:colOff>
      <xdr:row>18</xdr:row>
      <xdr:rowOff>202937</xdr:rowOff>
    </xdr:to>
    <xdr:pic>
      <xdr:nvPicPr>
        <xdr:cNvPr id="2" name="Picture 1" descr="https://www.energystar.gov/istar/pmpam/help/EGRID_subregion_map.gif"/>
        <xdr:cNvPicPr>
          <a:picLocks noChangeAspect="1" noChangeArrowheads="1"/>
        </xdr:cNvPicPr>
      </xdr:nvPicPr>
      <xdr:blipFill>
        <a:blip xmlns:r="http://schemas.openxmlformats.org/officeDocument/2006/relationships" r:embed="rId1" cstate="print"/>
        <a:srcRect/>
        <a:stretch>
          <a:fillRect/>
        </a:stretch>
      </xdr:blipFill>
      <xdr:spPr bwMode="auto">
        <a:xfrm>
          <a:off x="6762751" y="0"/>
          <a:ext cx="4867274" cy="4270112"/>
        </a:xfrm>
        <a:prstGeom prst="rect">
          <a:avLst/>
        </a:prstGeom>
        <a:noFill/>
        <a:ln w="9525">
          <a:noFill/>
          <a:miter lim="800000"/>
          <a:headEnd/>
          <a:tailEnd/>
        </a:ln>
      </xdr:spPr>
    </xdr:pic>
    <xdr:clientData/>
  </xdr:twoCellAnchor>
  <xdr:twoCellAnchor>
    <xdr:from>
      <xdr:col>0</xdr:col>
      <xdr:colOff>4067175</xdr:colOff>
      <xdr:row>0</xdr:row>
      <xdr:rowOff>76200</xdr:rowOff>
    </xdr:from>
    <xdr:to>
      <xdr:col>1</xdr:col>
      <xdr:colOff>1190626</xdr:colOff>
      <xdr:row>2</xdr:row>
      <xdr:rowOff>209550</xdr:rowOff>
    </xdr:to>
    <xdr:pic>
      <xdr:nvPicPr>
        <xdr:cNvPr id="3" name="Picture 2" descr="ECT_blue_600_res"/>
        <xdr:cNvPicPr>
          <a:picLocks noChangeAspect="1" noChangeArrowheads="1"/>
        </xdr:cNvPicPr>
      </xdr:nvPicPr>
      <xdr:blipFill>
        <a:blip xmlns:r="http://schemas.openxmlformats.org/officeDocument/2006/relationships" r:embed="rId2" cstate="print"/>
        <a:srcRect/>
        <a:stretch>
          <a:fillRect/>
        </a:stretch>
      </xdr:blipFill>
      <xdr:spPr bwMode="auto">
        <a:xfrm>
          <a:off x="4067175" y="76200"/>
          <a:ext cx="1438276"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4476750</xdr:colOff>
      <xdr:row>0</xdr:row>
      <xdr:rowOff>19050</xdr:rowOff>
    </xdr:from>
    <xdr:to>
      <xdr:col>1</xdr:col>
      <xdr:colOff>952501</xdr:colOff>
      <xdr:row>2</xdr:row>
      <xdr:rowOff>57150</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476750" y="19050"/>
          <a:ext cx="1428751"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257735</xdr:colOff>
      <xdr:row>0</xdr:row>
      <xdr:rowOff>67236</xdr:rowOff>
    </xdr:from>
    <xdr:to>
      <xdr:col>3</xdr:col>
      <xdr:colOff>1527923</xdr:colOff>
      <xdr:row>2</xdr:row>
      <xdr:rowOff>156884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6252882" y="67236"/>
          <a:ext cx="1639982" cy="48185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18</xdr:row>
      <xdr:rowOff>142874</xdr:rowOff>
    </xdr:from>
    <xdr:to>
      <xdr:col>2</xdr:col>
      <xdr:colOff>485775</xdr:colOff>
      <xdr:row>39</xdr:row>
      <xdr:rowOff>133349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0</xdr:row>
      <xdr:rowOff>57150</xdr:rowOff>
    </xdr:from>
    <xdr:to>
      <xdr:col>2</xdr:col>
      <xdr:colOff>144557</xdr:colOff>
      <xdr:row>2</xdr:row>
      <xdr:rowOff>158004</xdr:rowOff>
    </xdr:to>
    <xdr:pic>
      <xdr:nvPicPr>
        <xdr:cNvPr id="3" name="Picture 2" descr="ECT_blue_600_res"/>
        <xdr:cNvPicPr>
          <a:picLocks noChangeAspect="1" noChangeArrowheads="1"/>
        </xdr:cNvPicPr>
      </xdr:nvPicPr>
      <xdr:blipFill>
        <a:blip xmlns:r="http://schemas.openxmlformats.org/officeDocument/2006/relationships" r:embed="rId2" cstate="print"/>
        <a:srcRect/>
        <a:stretch>
          <a:fillRect/>
        </a:stretch>
      </xdr:blipFill>
      <xdr:spPr bwMode="auto">
        <a:xfrm>
          <a:off x="3676650" y="57150"/>
          <a:ext cx="1639982" cy="4818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866775</xdr:colOff>
      <xdr:row>0</xdr:row>
      <xdr:rowOff>123825</xdr:rowOff>
    </xdr:from>
    <xdr:to>
      <xdr:col>3</xdr:col>
      <xdr:colOff>430307</xdr:colOff>
      <xdr:row>3</xdr:row>
      <xdr:rowOff>5604</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3676650" y="123825"/>
          <a:ext cx="1639982" cy="48185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714375</xdr:colOff>
      <xdr:row>69</xdr:row>
      <xdr:rowOff>57150</xdr:rowOff>
    </xdr:from>
    <xdr:to>
      <xdr:col>4</xdr:col>
      <xdr:colOff>238125</xdr:colOff>
      <xdr:row>83</xdr:row>
      <xdr:rowOff>133350</xdr:rowOff>
    </xdr:to>
    <xdr:graphicFrame macro="">
      <xdr:nvGraphicFramePr>
        <xdr:cNvPr id="115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840442</xdr:colOff>
      <xdr:row>0</xdr:row>
      <xdr:rowOff>168089</xdr:rowOff>
    </xdr:from>
    <xdr:to>
      <xdr:col>4</xdr:col>
      <xdr:colOff>1382247</xdr:colOff>
      <xdr:row>2</xdr:row>
      <xdr:rowOff>201708</xdr:rowOff>
    </xdr:to>
    <xdr:pic>
      <xdr:nvPicPr>
        <xdr:cNvPr id="2" name="Picture 1" descr="ECT_blue_600_res"/>
        <xdr:cNvPicPr>
          <a:picLocks noChangeAspect="1" noChangeArrowheads="1"/>
        </xdr:cNvPicPr>
      </xdr:nvPicPr>
      <xdr:blipFill>
        <a:blip xmlns:r="http://schemas.openxmlformats.org/officeDocument/2006/relationships" r:embed="rId1" cstate="print"/>
        <a:srcRect/>
        <a:stretch>
          <a:fillRect/>
        </a:stretch>
      </xdr:blipFill>
      <xdr:spPr bwMode="auto">
        <a:xfrm>
          <a:off x="4134971" y="168089"/>
          <a:ext cx="1639982" cy="48185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714375</xdr:colOff>
      <xdr:row>69</xdr:row>
      <xdr:rowOff>57150</xdr:rowOff>
    </xdr:from>
    <xdr:to>
      <xdr:col>4</xdr:col>
      <xdr:colOff>238125</xdr:colOff>
      <xdr:row>83</xdr:row>
      <xdr:rowOff>133350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edstrom/Local%20Settings/Temporary%20Internet%20Files/Content.Outlook/77R8CMMA/Water_Conservation_Program_Estimated_Emissions_Reductions_Revised_13(Test%20Utilityc)-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rhiguchi/Local%20Settings/Temporary%20Internet%20Files/Content.Outlook/OTS0D3SI/Water_Conservation_Program_Estimated_Emissions_Reductions_Revised_6(Blank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dstrom/Desktop/Water%20-%20Wastewater%20Trend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A-Input Water Use Data"/>
      <sheetName val="Water Source"/>
      <sheetName val="Great Lakes or Connecting Chan"/>
      <sheetName val="River"/>
      <sheetName val="Shallow Groundwater"/>
      <sheetName val="Confined Groundwater"/>
      <sheetName val="GL Impacts"/>
      <sheetName val="River Impacts"/>
      <sheetName val="SGW Impacts"/>
      <sheetName val="CGW Impacts"/>
      <sheetName val="GL WW CSO Impacts"/>
      <sheetName val="GL WW SS Impacts"/>
      <sheetName val="Trib WW CSO Impacts"/>
      <sheetName val="Trib WW SS Impacts"/>
      <sheetName val="Water Demand Management Tools"/>
      <sheetName val="Sourcewater Protection Tools"/>
      <sheetName val="Smart Growth and LID Practices"/>
      <sheetName val="Stormwater Tools"/>
      <sheetName val="GL-GL-CSO Priorities"/>
      <sheetName val="Lists (2)"/>
      <sheetName val="Sheet54"/>
      <sheetName val="GL-GL-CSO Qs"/>
      <sheetName val="GL-GL-CSO As"/>
      <sheetName val="GL-GL-SS Qs"/>
      <sheetName val="GL-GL-SS As"/>
      <sheetName val="GL-Trib-CSO Qs"/>
      <sheetName val="GL-Trib-CSO As"/>
      <sheetName val="GL-Trib-SS Qs"/>
      <sheetName val="GL-Trib-SS As"/>
      <sheetName val="River-GL-CSO Qs"/>
      <sheetName val="River-GL-CSO As"/>
      <sheetName val="River-GL-SS Qs"/>
      <sheetName val="River-GL-SS As"/>
      <sheetName val="River-Trib-SS Qs"/>
      <sheetName val="River-Trib-SS As"/>
      <sheetName val="River-Trib-CSO Qs"/>
      <sheetName val="River-Trib-CSO As"/>
      <sheetName val="SGW-GL-CSO Qs"/>
      <sheetName val="SGW-GL-CSO As"/>
      <sheetName val="SGW-GL-SS Qs"/>
      <sheetName val="SGW-GL-SS As"/>
      <sheetName val="SGW-Trib-CSO Qs"/>
      <sheetName val="SGW-Trib-CSO As"/>
      <sheetName val="SGW-Trib-SS Qs"/>
      <sheetName val="SGW-Trib-SS As"/>
      <sheetName val="CGW-GL-CSO Qs"/>
      <sheetName val="CGW-GL-CSO As"/>
      <sheetName val="CGW-GL-SS Qs"/>
      <sheetName val="CGW-GL-SS As"/>
      <sheetName val="CGW-Trib-CSO Qs"/>
      <sheetName val="CGW-Trib-CSO As"/>
      <sheetName val="CGW-Trib-SS Qs"/>
      <sheetName val="CGW-Trib-SS As"/>
      <sheetName val="CGW-Trib-SS Cons Impact"/>
      <sheetName val="Water-Electric Summary"/>
      <sheetName val="A-Input Conservation Options"/>
      <sheetName val="A-Output-Cons Acts Impacts"/>
      <sheetName val="Sheet1"/>
      <sheetName val="A-Summary Output"/>
      <sheetName val="Total Emissions for Systems"/>
      <sheetName val="Reduced Emis Val-Options"/>
      <sheetName val="MROE"/>
      <sheetName val="RFCM"/>
      <sheetName val="RFCW"/>
      <sheetName val="NYUP"/>
      <sheetName val="MROW"/>
      <sheetName val="RFCE"/>
      <sheetName val="Lists"/>
      <sheetName val="Water Electricity"/>
      <sheetName val="A-Output-Emissions Impacts"/>
      <sheetName val="Reduced Emis Val-Total"/>
      <sheetName val="A-Carbon Credit Value Scenarios"/>
      <sheetName val="Annual Use Worksheet"/>
      <sheetName val="C-Input-Annual Water Use"/>
      <sheetName val="C-Output-Annual Emissions"/>
      <sheetName val="Green Options Input"/>
      <sheetName val="Green Options Output"/>
      <sheetName val="Wetland Bank O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t="str">
            <v>Great Lakes or Connecting Channel</v>
          </cell>
          <cell r="C3" t="str">
            <v>Combined Sewer System</v>
          </cell>
          <cell r="D3" t="str">
            <v>Yes</v>
          </cell>
          <cell r="E3" t="str">
            <v>Less than 8%</v>
          </cell>
          <cell r="F3" t="str">
            <v>Between 85%-100%</v>
          </cell>
          <cell r="G3" t="str">
            <v>Conventional Development</v>
          </cell>
        </row>
        <row r="4">
          <cell r="B4" t="str">
            <v>Tributary River</v>
          </cell>
          <cell r="C4" t="str">
            <v>Separated Sewer System</v>
          </cell>
          <cell r="D4" t="str">
            <v>No</v>
          </cell>
          <cell r="E4" t="str">
            <v>8%-10%</v>
          </cell>
          <cell r="F4" t="str">
            <v>Between 51% and 84%</v>
          </cell>
          <cell r="G4" t="str">
            <v>Low Impact Development or Smart Growth</v>
          </cell>
        </row>
        <row r="5">
          <cell r="D5" t="str">
            <v>Not Sure/Not applicable</v>
          </cell>
          <cell r="E5" t="str">
            <v>Over 10%</v>
          </cell>
          <cell r="F5" t="str">
            <v>Under 50%</v>
          </cell>
          <cell r="G5" t="str">
            <v>Combination of both</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 val="Input Info and Output"/>
      <sheetName val="Sheet1"/>
      <sheetName val="eGrid Regions"/>
      <sheetName val="Total Emissions for Systems"/>
      <sheetName val="Reduced Emissions Values"/>
      <sheetName val="MROE - Wisconsin Emissions"/>
      <sheetName val="MROE - Wisconsin Conserve"/>
      <sheetName val="RFCM - Michigan"/>
      <sheetName val="RFCW - IL IN OH"/>
      <sheetName val="NYUP - NY"/>
      <sheetName val="MROW - MN"/>
      <sheetName val="RFCE- PA"/>
      <sheetName val="Lists"/>
      <sheetName val="Water Electric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MROE</v>
          </cell>
          <cell r="C3">
            <v>2010</v>
          </cell>
        </row>
        <row r="4">
          <cell r="B4" t="str">
            <v>RCFM</v>
          </cell>
          <cell r="C4">
            <v>2009</v>
          </cell>
        </row>
        <row r="5">
          <cell r="B5" t="str">
            <v>RFCW</v>
          </cell>
          <cell r="C5">
            <v>2008</v>
          </cell>
        </row>
        <row r="6">
          <cell r="B6" t="str">
            <v>NYUP</v>
          </cell>
          <cell r="C6">
            <v>2007</v>
          </cell>
        </row>
        <row r="7">
          <cell r="B7" t="str">
            <v>MROW</v>
          </cell>
          <cell r="C7">
            <v>2006</v>
          </cell>
        </row>
        <row r="8">
          <cell r="B8" t="str">
            <v>RFCE</v>
          </cell>
          <cell r="C8">
            <v>2005</v>
          </cell>
        </row>
        <row r="9">
          <cell r="C9">
            <v>2004</v>
          </cell>
        </row>
        <row r="10">
          <cell r="C10">
            <v>2003</v>
          </cell>
        </row>
        <row r="11">
          <cell r="C11">
            <v>2002</v>
          </cell>
        </row>
        <row r="12">
          <cell r="C12">
            <v>2001</v>
          </cell>
        </row>
      </sheetData>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Grid Regions"/>
      <sheetName val="Reduced Emissions Values"/>
      <sheetName val="Conversion Worksheet"/>
      <sheetName val="MROE - Wisconsin Emissions"/>
      <sheetName val="MROE - Wisconsin Conserve"/>
      <sheetName val="RFCM - Michigan"/>
      <sheetName val="RFCW - IL IN OH"/>
      <sheetName val="NYUP - NY"/>
      <sheetName val="MROW - MN"/>
      <sheetName val="Sheet7"/>
      <sheetName val="Water Electricity"/>
      <sheetName val="Sheet2"/>
    </sheetNames>
    <sheetDataSet>
      <sheetData sheetId="0" refreshError="1"/>
      <sheetData sheetId="1" refreshError="1"/>
      <sheetData sheetId="2" refreshError="1"/>
      <sheetData sheetId="3" refreshError="1"/>
      <sheetData sheetId="4">
        <row r="9">
          <cell r="D9">
            <v>1834.72</v>
          </cell>
        </row>
      </sheetData>
      <sheetData sheetId="5">
        <row r="9">
          <cell r="D9">
            <v>1563.28</v>
          </cell>
        </row>
      </sheetData>
      <sheetData sheetId="6">
        <row r="9">
          <cell r="D9">
            <v>1537.82</v>
          </cell>
        </row>
      </sheetData>
      <sheetData sheetId="7">
        <row r="9">
          <cell r="D9">
            <v>720.8</v>
          </cell>
        </row>
      </sheetData>
      <sheetData sheetId="8">
        <row r="9">
          <cell r="D9">
            <v>1821.84</v>
          </cell>
        </row>
      </sheetData>
      <sheetData sheetId="9" refreshError="1"/>
      <sheetData sheetId="10" refreshError="1"/>
      <sheetData sheetId="11">
        <row r="3">
          <cell r="C3" t="str">
            <v>MROE</v>
          </cell>
        </row>
        <row r="4">
          <cell r="C4" t="str">
            <v>RCFM</v>
          </cell>
        </row>
        <row r="5">
          <cell r="C5" t="str">
            <v>RFCW</v>
          </cell>
        </row>
        <row r="6">
          <cell r="C6" t="str">
            <v>NYUP</v>
          </cell>
        </row>
        <row r="7">
          <cell r="C7" t="str">
            <v>MROW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ntrol" Target="../activeX/activeX11.xml"/><Relationship Id="rId18" Type="http://schemas.openxmlformats.org/officeDocument/2006/relationships/control" Target="../activeX/activeX16.xml"/><Relationship Id="rId26" Type="http://schemas.openxmlformats.org/officeDocument/2006/relationships/control" Target="../activeX/activeX24.xml"/><Relationship Id="rId39" Type="http://schemas.openxmlformats.org/officeDocument/2006/relationships/control" Target="../activeX/activeX37.xml"/><Relationship Id="rId3" Type="http://schemas.openxmlformats.org/officeDocument/2006/relationships/control" Target="../activeX/activeX1.xml"/><Relationship Id="rId21" Type="http://schemas.openxmlformats.org/officeDocument/2006/relationships/control" Target="../activeX/activeX19.xml"/><Relationship Id="rId34" Type="http://schemas.openxmlformats.org/officeDocument/2006/relationships/control" Target="../activeX/activeX32.xml"/><Relationship Id="rId7" Type="http://schemas.openxmlformats.org/officeDocument/2006/relationships/control" Target="../activeX/activeX5.xml"/><Relationship Id="rId12" Type="http://schemas.openxmlformats.org/officeDocument/2006/relationships/control" Target="../activeX/activeX10.xml"/><Relationship Id="rId17" Type="http://schemas.openxmlformats.org/officeDocument/2006/relationships/control" Target="../activeX/activeX15.xml"/><Relationship Id="rId25" Type="http://schemas.openxmlformats.org/officeDocument/2006/relationships/control" Target="../activeX/activeX23.xml"/><Relationship Id="rId33" Type="http://schemas.openxmlformats.org/officeDocument/2006/relationships/control" Target="../activeX/activeX31.xml"/><Relationship Id="rId38" Type="http://schemas.openxmlformats.org/officeDocument/2006/relationships/control" Target="../activeX/activeX36.xml"/><Relationship Id="rId2" Type="http://schemas.openxmlformats.org/officeDocument/2006/relationships/vmlDrawing" Target="../drawings/vmlDrawing1.vml"/><Relationship Id="rId16" Type="http://schemas.openxmlformats.org/officeDocument/2006/relationships/control" Target="../activeX/activeX14.xml"/><Relationship Id="rId20" Type="http://schemas.openxmlformats.org/officeDocument/2006/relationships/control" Target="../activeX/activeX18.xml"/><Relationship Id="rId29" Type="http://schemas.openxmlformats.org/officeDocument/2006/relationships/control" Target="../activeX/activeX27.xml"/><Relationship Id="rId1" Type="http://schemas.openxmlformats.org/officeDocument/2006/relationships/printerSettings" Target="../printerSettings/printerSettings14.bin"/><Relationship Id="rId6" Type="http://schemas.openxmlformats.org/officeDocument/2006/relationships/control" Target="../activeX/activeX4.xml"/><Relationship Id="rId11" Type="http://schemas.openxmlformats.org/officeDocument/2006/relationships/control" Target="../activeX/activeX9.xml"/><Relationship Id="rId24" Type="http://schemas.openxmlformats.org/officeDocument/2006/relationships/control" Target="../activeX/activeX22.xml"/><Relationship Id="rId32" Type="http://schemas.openxmlformats.org/officeDocument/2006/relationships/control" Target="../activeX/activeX30.xml"/><Relationship Id="rId37" Type="http://schemas.openxmlformats.org/officeDocument/2006/relationships/control" Target="../activeX/activeX35.xml"/><Relationship Id="rId40" Type="http://schemas.openxmlformats.org/officeDocument/2006/relationships/control" Target="../activeX/activeX38.xml"/><Relationship Id="rId5" Type="http://schemas.openxmlformats.org/officeDocument/2006/relationships/control" Target="../activeX/activeX3.xml"/><Relationship Id="rId15" Type="http://schemas.openxmlformats.org/officeDocument/2006/relationships/control" Target="../activeX/activeX13.xml"/><Relationship Id="rId23" Type="http://schemas.openxmlformats.org/officeDocument/2006/relationships/control" Target="../activeX/activeX21.xml"/><Relationship Id="rId28" Type="http://schemas.openxmlformats.org/officeDocument/2006/relationships/control" Target="../activeX/activeX26.xml"/><Relationship Id="rId36" Type="http://schemas.openxmlformats.org/officeDocument/2006/relationships/control" Target="../activeX/activeX34.xml"/><Relationship Id="rId10" Type="http://schemas.openxmlformats.org/officeDocument/2006/relationships/control" Target="../activeX/activeX8.xml"/><Relationship Id="rId19" Type="http://schemas.openxmlformats.org/officeDocument/2006/relationships/control" Target="../activeX/activeX17.xml"/><Relationship Id="rId31" Type="http://schemas.openxmlformats.org/officeDocument/2006/relationships/control" Target="../activeX/activeX29.xml"/><Relationship Id="rId4" Type="http://schemas.openxmlformats.org/officeDocument/2006/relationships/control" Target="../activeX/activeX2.xml"/><Relationship Id="rId9" Type="http://schemas.openxmlformats.org/officeDocument/2006/relationships/control" Target="../activeX/activeX7.xml"/><Relationship Id="rId14" Type="http://schemas.openxmlformats.org/officeDocument/2006/relationships/control" Target="../activeX/activeX12.xml"/><Relationship Id="rId22" Type="http://schemas.openxmlformats.org/officeDocument/2006/relationships/control" Target="../activeX/activeX20.xml"/><Relationship Id="rId27" Type="http://schemas.openxmlformats.org/officeDocument/2006/relationships/control" Target="../activeX/activeX25.xml"/><Relationship Id="rId30" Type="http://schemas.openxmlformats.org/officeDocument/2006/relationships/control" Target="../activeX/activeX28.xml"/><Relationship Id="rId35" Type="http://schemas.openxmlformats.org/officeDocument/2006/relationships/control" Target="../activeX/activeX3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6:A45"/>
  <sheetViews>
    <sheetView tabSelected="1" workbookViewId="0">
      <selection activeCell="A14" sqref="A14"/>
    </sheetView>
  </sheetViews>
  <sheetFormatPr defaultRowHeight="15"/>
  <cols>
    <col min="1" max="1" width="89.28515625" style="232" customWidth="1"/>
  </cols>
  <sheetData>
    <row r="6" spans="1:1" ht="23.25">
      <c r="A6" s="292" t="s">
        <v>362</v>
      </c>
    </row>
    <row r="8" spans="1:1" ht="15.75">
      <c r="A8" s="293" t="s">
        <v>364</v>
      </c>
    </row>
    <row r="9" spans="1:1" ht="42.75">
      <c r="A9" s="232" t="s">
        <v>365</v>
      </c>
    </row>
    <row r="10" spans="1:1" ht="30" customHeight="1">
      <c r="A10" s="232" t="s">
        <v>318</v>
      </c>
    </row>
    <row r="11" spans="1:1">
      <c r="A11" s="232" t="s">
        <v>366</v>
      </c>
    </row>
    <row r="13" spans="1:1" ht="15.75">
      <c r="A13" s="234" t="s">
        <v>363</v>
      </c>
    </row>
    <row r="14" spans="1:1">
      <c r="A14" s="235" t="s">
        <v>294</v>
      </c>
    </row>
    <row r="15" spans="1:1" ht="102" customHeight="1">
      <c r="A15" s="232" t="s">
        <v>320</v>
      </c>
    </row>
    <row r="16" spans="1:1" ht="16.5" customHeight="1"/>
    <row r="17" spans="1:1" ht="16.5" customHeight="1">
      <c r="A17" s="251" t="s">
        <v>328</v>
      </c>
    </row>
    <row r="18" spans="1:1" ht="16.5" customHeight="1">
      <c r="A18" s="252" t="s">
        <v>329</v>
      </c>
    </row>
    <row r="19" spans="1:1" ht="16.5" customHeight="1">
      <c r="A19" s="252" t="s">
        <v>330</v>
      </c>
    </row>
    <row r="20" spans="1:1" ht="16.5" customHeight="1">
      <c r="A20" s="252" t="s">
        <v>331</v>
      </c>
    </row>
    <row r="21" spans="1:1" ht="16.5" customHeight="1">
      <c r="A21" s="252" t="s">
        <v>332</v>
      </c>
    </row>
    <row r="22" spans="1:1" ht="16.5" customHeight="1">
      <c r="A22" s="252" t="s">
        <v>333</v>
      </c>
    </row>
    <row r="23" spans="1:1" ht="17.25" customHeight="1">
      <c r="A23" s="252" t="s">
        <v>334</v>
      </c>
    </row>
    <row r="24" spans="1:1" ht="16.5" customHeight="1">
      <c r="A24" s="252" t="s">
        <v>335</v>
      </c>
    </row>
    <row r="25" spans="1:1">
      <c r="A25" s="252" t="s">
        <v>336</v>
      </c>
    </row>
    <row r="26" spans="1:1" ht="17.25" customHeight="1">
      <c r="A26" s="252" t="s">
        <v>337</v>
      </c>
    </row>
    <row r="27" spans="1:1" ht="17.25" customHeight="1">
      <c r="A27" s="252"/>
    </row>
    <row r="28" spans="1:1" ht="17.25" customHeight="1">
      <c r="A28" s="291" t="s">
        <v>361</v>
      </c>
    </row>
    <row r="29" spans="1:1">
      <c r="A29" s="233" t="s">
        <v>295</v>
      </c>
    </row>
    <row r="30" spans="1:1" ht="30" customHeight="1">
      <c r="A30" s="232" t="s">
        <v>290</v>
      </c>
    </row>
    <row r="31" spans="1:1">
      <c r="A31" s="233" t="s">
        <v>296</v>
      </c>
    </row>
    <row r="32" spans="1:1" ht="45.75" customHeight="1">
      <c r="A32" s="232" t="s">
        <v>291</v>
      </c>
    </row>
    <row r="33" spans="1:1">
      <c r="A33" s="233" t="s">
        <v>297</v>
      </c>
    </row>
    <row r="34" spans="1:1" ht="44.25" customHeight="1">
      <c r="A34" s="232" t="s">
        <v>292</v>
      </c>
    </row>
    <row r="35" spans="1:1">
      <c r="A35" s="233" t="s">
        <v>298</v>
      </c>
    </row>
    <row r="36" spans="1:1" ht="28.5">
      <c r="A36" s="232" t="s">
        <v>293</v>
      </c>
    </row>
    <row r="37" spans="1:1">
      <c r="A37" s="233" t="s">
        <v>299</v>
      </c>
    </row>
    <row r="38" spans="1:1" ht="18.75" customHeight="1">
      <c r="A38" s="232" t="s">
        <v>302</v>
      </c>
    </row>
    <row r="39" spans="1:1" ht="21.75" customHeight="1"/>
    <row r="40" spans="1:1" ht="19.5" customHeight="1"/>
    <row r="41" spans="1:1" ht="15.75">
      <c r="A41" s="234" t="s">
        <v>327</v>
      </c>
    </row>
    <row r="42" spans="1:1">
      <c r="A42" s="233" t="s">
        <v>300</v>
      </c>
    </row>
    <row r="43" spans="1:1" ht="59.25" customHeight="1">
      <c r="A43" s="232" t="s">
        <v>303</v>
      </c>
    </row>
    <row r="44" spans="1:1">
      <c r="A44" s="233" t="s">
        <v>301</v>
      </c>
    </row>
    <row r="45" spans="1:1" ht="28.5">
      <c r="A45" s="232" t="s">
        <v>313</v>
      </c>
    </row>
  </sheetData>
  <sheetProtection password="8197" sheet="1" objects="1" scenarios="1"/>
  <hyperlinks>
    <hyperlink ref="A29" location="'A-Input Conservation Options'!B6" display="Input Conservation Options"/>
    <hyperlink ref="A31" location="'A-Output-WaterElectric Impact'!C4" display="Output-WaterElectric Impact"/>
    <hyperlink ref="A33" location="'A-Output-Emissions Impacts'!C5" display="Output-Emissions Impacts"/>
    <hyperlink ref="A35" location="'A-Summary Output'!A1" display="Summary Output"/>
    <hyperlink ref="A42" location="'C-Input-Annual Water Use'!C7" display="Input-Annual Water Use"/>
    <hyperlink ref="A44" location="'C-Output-Annual Emissions'!B2" display="Output-Annual Emissions"/>
    <hyperlink ref="A14" location="'A-Input Water Use Data'!A4" display="Input Water Use Data"/>
    <hyperlink ref="A37" location="'A-Carbon Credit Value Scenarios'!C3" display="Carbon Credit Value Scenarios"/>
  </hyperlink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sheetPr codeName="Sheet9"/>
  <dimension ref="A1:K42"/>
  <sheetViews>
    <sheetView workbookViewId="0">
      <selection activeCell="B36" sqref="B36"/>
    </sheetView>
  </sheetViews>
  <sheetFormatPr defaultRowHeight="15"/>
  <cols>
    <col min="1" max="1" width="13.85546875" customWidth="1"/>
    <col min="2" max="2" width="17" customWidth="1"/>
    <col min="3" max="3" width="15" customWidth="1"/>
    <col min="4" max="4" width="20.85546875" customWidth="1"/>
    <col min="6" max="6" width="19.42578125" customWidth="1"/>
  </cols>
  <sheetData>
    <row r="1" spans="1:11" ht="15.75" thickBot="1">
      <c r="A1" s="19" t="s">
        <v>17</v>
      </c>
      <c r="B1" s="20"/>
    </row>
    <row r="2" spans="1:11">
      <c r="A2" s="21" t="s">
        <v>0</v>
      </c>
      <c r="B2" s="22" t="s">
        <v>1</v>
      </c>
      <c r="C2" s="20"/>
    </row>
    <row r="3" spans="1:11">
      <c r="A3" s="21" t="s">
        <v>2</v>
      </c>
      <c r="B3" s="23">
        <v>8223.4</v>
      </c>
      <c r="C3" s="20"/>
    </row>
    <row r="4" spans="1:11" ht="25.5">
      <c r="A4" s="21" t="s">
        <v>3</v>
      </c>
      <c r="B4" s="23">
        <v>29941931.899999999</v>
      </c>
      <c r="C4" s="20"/>
    </row>
    <row r="5" spans="1:11" ht="26.25" thickBot="1">
      <c r="A5" s="24" t="s">
        <v>4</v>
      </c>
      <c r="B5" s="25">
        <v>289046539.60000002</v>
      </c>
      <c r="C5" s="20"/>
    </row>
    <row r="6" spans="1:11">
      <c r="A6" s="32"/>
      <c r="B6" s="33"/>
      <c r="C6" s="20"/>
    </row>
    <row r="7" spans="1:11">
      <c r="A7" s="30" t="s">
        <v>45</v>
      </c>
      <c r="C7" s="20"/>
    </row>
    <row r="8" spans="1:11" ht="15.75" thickBot="1">
      <c r="A8" s="26" t="s">
        <v>5</v>
      </c>
      <c r="B8" s="27" t="s">
        <v>6</v>
      </c>
      <c r="C8" s="26" t="s">
        <v>7</v>
      </c>
      <c r="D8" s="27" t="s">
        <v>8</v>
      </c>
      <c r="E8" s="26" t="s">
        <v>7</v>
      </c>
      <c r="F8" s="27" t="s">
        <v>9</v>
      </c>
      <c r="G8" s="26" t="s">
        <v>7</v>
      </c>
      <c r="H8" s="28"/>
      <c r="I8" s="28"/>
      <c r="J8" s="28"/>
      <c r="K8" s="28"/>
    </row>
    <row r="9" spans="1:11">
      <c r="A9" s="4" t="s">
        <v>18</v>
      </c>
      <c r="B9" s="5">
        <v>27467521.5</v>
      </c>
      <c r="C9" s="4" t="s">
        <v>10</v>
      </c>
      <c r="D9" s="5">
        <v>1834.72</v>
      </c>
      <c r="E9" s="4" t="s">
        <v>11</v>
      </c>
      <c r="F9" s="6">
        <v>190.06</v>
      </c>
      <c r="G9" s="4" t="s">
        <v>12</v>
      </c>
      <c r="H9" s="28"/>
      <c r="I9" s="28"/>
      <c r="J9" s="28"/>
      <c r="K9" s="28"/>
    </row>
    <row r="10" spans="1:11">
      <c r="A10" s="7" t="s">
        <v>19</v>
      </c>
      <c r="B10" s="8">
        <v>107287.46</v>
      </c>
      <c r="C10" s="7" t="s">
        <v>10</v>
      </c>
      <c r="D10" s="9">
        <v>7.1664000000000003</v>
      </c>
      <c r="E10" s="7" t="s">
        <v>11</v>
      </c>
      <c r="F10" s="9">
        <v>0.74239999999999995</v>
      </c>
      <c r="G10" s="7" t="s">
        <v>12</v>
      </c>
      <c r="H10" s="28"/>
      <c r="I10" s="28"/>
      <c r="J10" s="28"/>
      <c r="K10" s="28"/>
    </row>
    <row r="11" spans="1:11">
      <c r="A11" s="7" t="s">
        <v>20</v>
      </c>
      <c r="B11" s="8">
        <v>41129.68</v>
      </c>
      <c r="C11" s="7" t="s">
        <v>10</v>
      </c>
      <c r="D11" s="9">
        <v>2.7473000000000001</v>
      </c>
      <c r="E11" s="7" t="s">
        <v>11</v>
      </c>
      <c r="F11" s="9">
        <v>0.28460000000000002</v>
      </c>
      <c r="G11" s="7" t="s">
        <v>12</v>
      </c>
      <c r="H11" s="28"/>
      <c r="I11" s="28"/>
      <c r="J11" s="28"/>
      <c r="K11" s="28"/>
    </row>
    <row r="12" spans="1:11" ht="27">
      <c r="A12" s="7" t="s">
        <v>21</v>
      </c>
      <c r="B12" s="8">
        <v>16756.5</v>
      </c>
      <c r="C12" s="7" t="s">
        <v>10</v>
      </c>
      <c r="D12" s="9">
        <v>2.5516999999999999</v>
      </c>
      <c r="E12" s="7" t="s">
        <v>11</v>
      </c>
      <c r="F12" s="9">
        <v>0.2576</v>
      </c>
      <c r="G12" s="7" t="s">
        <v>12</v>
      </c>
      <c r="H12" s="28"/>
      <c r="I12" s="28"/>
      <c r="J12" s="28"/>
      <c r="K12" s="28"/>
    </row>
    <row r="13" spans="1:11">
      <c r="A13" s="7" t="s">
        <v>22</v>
      </c>
      <c r="B13" s="9">
        <v>821.15</v>
      </c>
      <c r="C13" s="7" t="s">
        <v>13</v>
      </c>
      <c r="D13" s="9">
        <v>2.7400000000000001E-2</v>
      </c>
      <c r="E13" s="7" t="s">
        <v>14</v>
      </c>
      <c r="F13" s="9">
        <v>2.8E-3</v>
      </c>
      <c r="G13" s="7" t="s">
        <v>15</v>
      </c>
      <c r="H13" s="28"/>
      <c r="I13" s="28"/>
      <c r="J13" s="28"/>
      <c r="K13" s="28"/>
    </row>
    <row r="14" spans="1:11">
      <c r="A14" s="4" t="s">
        <v>23</v>
      </c>
      <c r="B14" s="5">
        <v>826162.1</v>
      </c>
      <c r="C14" s="4" t="s">
        <v>13</v>
      </c>
      <c r="D14" s="6">
        <v>27.59</v>
      </c>
      <c r="E14" s="4" t="s">
        <v>14</v>
      </c>
      <c r="F14" s="6" t="s">
        <v>16</v>
      </c>
      <c r="G14" s="6"/>
      <c r="H14" s="28"/>
      <c r="I14" s="28"/>
      <c r="J14" s="28"/>
      <c r="K14" s="28"/>
    </row>
    <row r="15" spans="1:11" ht="15.75" thickBot="1">
      <c r="A15" s="10" t="s">
        <v>24</v>
      </c>
      <c r="B15" s="11">
        <v>909117.2</v>
      </c>
      <c r="C15" s="10" t="s">
        <v>13</v>
      </c>
      <c r="D15" s="12">
        <v>30.36</v>
      </c>
      <c r="E15" s="10" t="s">
        <v>14</v>
      </c>
      <c r="F15" s="12" t="s">
        <v>16</v>
      </c>
      <c r="G15" s="29"/>
      <c r="H15" s="28"/>
      <c r="I15" s="28"/>
      <c r="J15" s="28"/>
      <c r="K15" s="28"/>
    </row>
    <row r="16" spans="1:11">
      <c r="A16" s="28"/>
      <c r="B16" s="28"/>
      <c r="C16" s="28"/>
      <c r="D16" s="28"/>
      <c r="E16" s="28"/>
      <c r="F16" s="28"/>
      <c r="G16" s="28"/>
      <c r="H16" s="28"/>
      <c r="I16" s="28"/>
      <c r="J16" s="28"/>
      <c r="K16" s="28"/>
    </row>
    <row r="18" spans="1:6" ht="27" thickBot="1">
      <c r="A18" s="26" t="s">
        <v>29</v>
      </c>
      <c r="B18" s="27" t="s">
        <v>30</v>
      </c>
      <c r="C18" s="27" t="s">
        <v>31</v>
      </c>
      <c r="D18" s="26" t="s">
        <v>36</v>
      </c>
      <c r="E18" s="27" t="s">
        <v>30</v>
      </c>
      <c r="F18" s="27" t="s">
        <v>31</v>
      </c>
    </row>
    <row r="19" spans="1:6">
      <c r="A19" s="7" t="s">
        <v>25</v>
      </c>
      <c r="B19" s="9">
        <v>67.945899999999995</v>
      </c>
      <c r="C19" s="8">
        <v>20344315.100000001</v>
      </c>
      <c r="D19" s="7" t="s">
        <v>37</v>
      </c>
      <c r="E19" s="9">
        <v>0.11550000000000001</v>
      </c>
      <c r="F19" s="8">
        <v>34583.9</v>
      </c>
    </row>
    <row r="20" spans="1:6">
      <c r="A20" s="7" t="s">
        <v>26</v>
      </c>
      <c r="B20" s="9">
        <v>2.1905000000000001</v>
      </c>
      <c r="C20" s="8">
        <v>655869.9</v>
      </c>
      <c r="D20" s="7" t="s">
        <v>38</v>
      </c>
      <c r="E20" s="9">
        <v>0</v>
      </c>
      <c r="F20" s="9">
        <v>0</v>
      </c>
    </row>
    <row r="21" spans="1:6">
      <c r="A21" s="7" t="s">
        <v>27</v>
      </c>
      <c r="B21" s="9">
        <v>11.994199999999999</v>
      </c>
      <c r="C21" s="8">
        <v>3591290.6</v>
      </c>
      <c r="D21" s="7" t="s">
        <v>39</v>
      </c>
      <c r="E21" s="9">
        <v>0</v>
      </c>
      <c r="F21" s="9">
        <v>0</v>
      </c>
    </row>
    <row r="22" spans="1:6">
      <c r="A22" s="7" t="s">
        <v>32</v>
      </c>
      <c r="B22" s="9">
        <v>0.1545</v>
      </c>
      <c r="C22" s="8">
        <v>46264.7</v>
      </c>
      <c r="D22" s="7" t="s">
        <v>40</v>
      </c>
      <c r="E22" s="9">
        <v>3.6798000000000002</v>
      </c>
      <c r="F22" s="8">
        <v>1101799.8999999999</v>
      </c>
    </row>
    <row r="23" spans="1:6">
      <c r="A23" s="7" t="s">
        <v>33</v>
      </c>
      <c r="B23" s="9">
        <v>10.177300000000001</v>
      </c>
      <c r="C23" s="8">
        <v>3047288</v>
      </c>
      <c r="D23" s="7" t="s">
        <v>41</v>
      </c>
      <c r="E23" s="9">
        <v>3.5889000000000002</v>
      </c>
      <c r="F23" s="8">
        <v>1074590.3</v>
      </c>
    </row>
    <row r="24" spans="1:6" ht="39.75" thickBot="1">
      <c r="A24" s="7" t="s">
        <v>34</v>
      </c>
      <c r="B24" s="9">
        <v>0.15340000000000001</v>
      </c>
      <c r="C24" s="8">
        <v>45929.5</v>
      </c>
      <c r="D24" s="9"/>
      <c r="E24" s="9"/>
      <c r="F24" s="9"/>
    </row>
    <row r="25" spans="1:6" ht="26.25">
      <c r="A25" s="13" t="s">
        <v>35</v>
      </c>
      <c r="B25" s="14">
        <v>92.615799999999993</v>
      </c>
      <c r="C25" s="15">
        <v>27730957.899999999</v>
      </c>
      <c r="D25" s="13" t="s">
        <v>42</v>
      </c>
      <c r="E25" s="14">
        <v>7.3841999999999999</v>
      </c>
      <c r="F25" s="15">
        <v>2210974</v>
      </c>
    </row>
    <row r="26" spans="1:6" ht="27" thickBot="1">
      <c r="A26" s="16"/>
      <c r="B26" s="16"/>
      <c r="C26" s="16"/>
      <c r="D26" s="17" t="s">
        <v>43</v>
      </c>
      <c r="E26" s="16">
        <v>3.7953000000000001</v>
      </c>
      <c r="F26" s="18">
        <v>1136383.8</v>
      </c>
    </row>
    <row r="27" spans="1:6">
      <c r="D27" s="34"/>
      <c r="E27" s="31"/>
      <c r="F27" s="31"/>
    </row>
    <row r="28" spans="1:6">
      <c r="D28" s="34"/>
      <c r="E28" s="31"/>
      <c r="F28" s="31"/>
    </row>
    <row r="29" spans="1:6">
      <c r="D29" s="34"/>
      <c r="E29" s="31"/>
      <c r="F29" s="31"/>
    </row>
    <row r="30" spans="1:6" ht="15.75" thickBot="1">
      <c r="B30" s="27"/>
      <c r="C30" s="27" t="s">
        <v>30</v>
      </c>
      <c r="D30" s="27" t="s">
        <v>31</v>
      </c>
    </row>
    <row r="31" spans="1:6">
      <c r="B31" s="7" t="s">
        <v>46</v>
      </c>
      <c r="C31" s="9">
        <v>86.118300000000005</v>
      </c>
      <c r="D31" s="8">
        <v>25785469.699999999</v>
      </c>
    </row>
    <row r="32" spans="1:6" ht="27" thickBot="1">
      <c r="B32" s="17" t="s">
        <v>47</v>
      </c>
      <c r="C32" s="16">
        <v>13.8817</v>
      </c>
      <c r="D32" s="18">
        <v>4156462.2</v>
      </c>
    </row>
    <row r="35" spans="1:5" ht="63.75" thickBot="1">
      <c r="A35" s="51" t="s">
        <v>5</v>
      </c>
      <c r="B35" s="52" t="s">
        <v>70</v>
      </c>
      <c r="C35" s="52" t="s">
        <v>7</v>
      </c>
      <c r="D35" s="52" t="s">
        <v>71</v>
      </c>
      <c r="E35" s="52" t="s">
        <v>7</v>
      </c>
    </row>
    <row r="36" spans="1:5" ht="19.5">
      <c r="A36" s="53" t="s">
        <v>72</v>
      </c>
      <c r="B36" s="54">
        <v>1828.63</v>
      </c>
      <c r="C36" s="53" t="s">
        <v>11</v>
      </c>
      <c r="D36" s="54">
        <v>2130.4699999999998</v>
      </c>
      <c r="E36" s="53" t="s">
        <v>11</v>
      </c>
    </row>
    <row r="37" spans="1:5" ht="19.5">
      <c r="A37" s="55" t="s">
        <v>73</v>
      </c>
      <c r="B37" s="56">
        <v>6.782</v>
      </c>
      <c r="C37" s="55" t="s">
        <v>11</v>
      </c>
      <c r="D37" s="56">
        <v>8.3215000000000003</v>
      </c>
      <c r="E37" s="55" t="s">
        <v>11</v>
      </c>
    </row>
    <row r="38" spans="1:5" ht="19.5">
      <c r="A38" s="55" t="s">
        <v>74</v>
      </c>
      <c r="B38" s="56">
        <v>2.9043000000000001</v>
      </c>
      <c r="C38" s="55" t="s">
        <v>11</v>
      </c>
      <c r="D38" s="56">
        <v>3.1901000000000002</v>
      </c>
      <c r="E38" s="55" t="s">
        <v>11</v>
      </c>
    </row>
    <row r="39" spans="1:5" ht="34.5">
      <c r="A39" s="55" t="s">
        <v>75</v>
      </c>
      <c r="B39" s="56">
        <v>2.7339000000000002</v>
      </c>
      <c r="C39" s="55" t="s">
        <v>11</v>
      </c>
      <c r="D39" s="56">
        <v>2.9630999999999998</v>
      </c>
      <c r="E39" s="55" t="s">
        <v>11</v>
      </c>
    </row>
    <row r="40" spans="1:5" ht="19.5">
      <c r="A40" s="55" t="s">
        <v>76</v>
      </c>
      <c r="B40" s="56">
        <v>1.8200000000000001E-2</v>
      </c>
      <c r="C40" s="55" t="s">
        <v>14</v>
      </c>
      <c r="D40" s="56">
        <v>3.1800000000000002E-2</v>
      </c>
      <c r="E40" s="55" t="s">
        <v>14</v>
      </c>
    </row>
    <row r="41" spans="1:5" ht="19.5">
      <c r="A41" s="53" t="s">
        <v>77</v>
      </c>
      <c r="B41" s="57">
        <v>28.82</v>
      </c>
      <c r="C41" s="53" t="s">
        <v>14</v>
      </c>
      <c r="D41" s="57">
        <v>32.04</v>
      </c>
      <c r="E41" s="53" t="s">
        <v>14</v>
      </c>
    </row>
    <row r="42" spans="1:5" ht="20.25" thickBot="1">
      <c r="A42" s="58" t="s">
        <v>78</v>
      </c>
      <c r="B42" s="59">
        <v>25.2</v>
      </c>
      <c r="C42" s="58" t="s">
        <v>14</v>
      </c>
      <c r="D42" s="59">
        <v>35.26</v>
      </c>
      <c r="E42" s="58" t="s">
        <v>14</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sheetPr codeName="Sheet10"/>
  <dimension ref="A1:G43"/>
  <sheetViews>
    <sheetView workbookViewId="0">
      <selection activeCell="B24" sqref="B24"/>
    </sheetView>
  </sheetViews>
  <sheetFormatPr defaultRowHeight="15"/>
  <cols>
    <col min="1" max="1" width="17.5703125" customWidth="1"/>
    <col min="2" max="2" width="19.5703125" customWidth="1"/>
    <col min="3" max="3" width="17.42578125" customWidth="1"/>
    <col min="4" max="4" width="18.5703125" customWidth="1"/>
    <col min="6" max="6" width="19.5703125" customWidth="1"/>
  </cols>
  <sheetData>
    <row r="1" spans="1:7">
      <c r="A1" s="7" t="s">
        <v>0</v>
      </c>
      <c r="B1" s="9" t="s">
        <v>28</v>
      </c>
    </row>
    <row r="2" spans="1:7">
      <c r="A2" s="7" t="s">
        <v>2</v>
      </c>
      <c r="B2" s="8">
        <v>29479.1</v>
      </c>
    </row>
    <row r="3" spans="1:7" ht="26.25">
      <c r="A3" s="7" t="s">
        <v>3</v>
      </c>
      <c r="B3" s="8">
        <v>98098907.900000006</v>
      </c>
    </row>
    <row r="4" spans="1:7" ht="15.75" thickBot="1">
      <c r="A4" s="17" t="s">
        <v>4</v>
      </c>
      <c r="B4" s="18">
        <v>796118826.60000002</v>
      </c>
    </row>
    <row r="7" spans="1:7">
      <c r="A7" s="30" t="s">
        <v>45</v>
      </c>
    </row>
    <row r="8" spans="1:7" ht="27" thickBot="1">
      <c r="A8" s="26" t="s">
        <v>5</v>
      </c>
      <c r="B8" s="27" t="s">
        <v>6</v>
      </c>
      <c r="C8" s="26" t="s">
        <v>7</v>
      </c>
      <c r="D8" s="27" t="s">
        <v>8</v>
      </c>
      <c r="E8" s="26" t="s">
        <v>7</v>
      </c>
      <c r="F8" s="27" t="s">
        <v>9</v>
      </c>
      <c r="G8" s="26" t="s">
        <v>7</v>
      </c>
    </row>
    <row r="9" spans="1:7">
      <c r="A9" s="4" t="s">
        <v>18</v>
      </c>
      <c r="B9" s="5">
        <v>76678048.900000006</v>
      </c>
      <c r="C9" s="4" t="s">
        <v>10</v>
      </c>
      <c r="D9" s="5">
        <v>1563.28</v>
      </c>
      <c r="E9" s="4" t="s">
        <v>11</v>
      </c>
      <c r="F9" s="6">
        <v>192.63</v>
      </c>
      <c r="G9" s="4" t="s">
        <v>12</v>
      </c>
    </row>
    <row r="10" spans="1:7">
      <c r="A10" s="7" t="s">
        <v>19</v>
      </c>
      <c r="B10" s="8">
        <v>362972.65</v>
      </c>
      <c r="C10" s="7" t="s">
        <v>10</v>
      </c>
      <c r="D10" s="9">
        <v>7.4001000000000001</v>
      </c>
      <c r="E10" s="7" t="s">
        <v>11</v>
      </c>
      <c r="F10" s="9">
        <v>0.91190000000000004</v>
      </c>
      <c r="G10" s="7" t="s">
        <v>12</v>
      </c>
    </row>
    <row r="11" spans="1:7">
      <c r="A11" s="7" t="s">
        <v>20</v>
      </c>
      <c r="B11" s="8">
        <v>115015.03999999999</v>
      </c>
      <c r="C11" s="7" t="s">
        <v>10</v>
      </c>
      <c r="D11" s="9">
        <v>2.3449</v>
      </c>
      <c r="E11" s="7" t="s">
        <v>11</v>
      </c>
      <c r="F11" s="9">
        <v>0.28889999999999999</v>
      </c>
      <c r="G11" s="7" t="s">
        <v>12</v>
      </c>
    </row>
    <row r="12" spans="1:7">
      <c r="A12" s="7" t="s">
        <v>21</v>
      </c>
      <c r="B12" s="8">
        <v>44161.08</v>
      </c>
      <c r="C12" s="7" t="s">
        <v>10</v>
      </c>
      <c r="D12" s="9">
        <v>2.0188999999999999</v>
      </c>
      <c r="E12" s="7" t="s">
        <v>11</v>
      </c>
      <c r="F12" s="9">
        <v>0.24529999999999999</v>
      </c>
      <c r="G12" s="7" t="s">
        <v>12</v>
      </c>
    </row>
    <row r="13" spans="1:7">
      <c r="A13" s="7" t="s">
        <v>22</v>
      </c>
      <c r="B13" s="8">
        <v>3627.26</v>
      </c>
      <c r="C13" s="7" t="s">
        <v>13</v>
      </c>
      <c r="D13" s="9">
        <v>3.6999999999999998E-2</v>
      </c>
      <c r="E13" s="7" t="s">
        <v>14</v>
      </c>
      <c r="F13" s="9">
        <v>4.5999999999999999E-3</v>
      </c>
      <c r="G13" s="7" t="s">
        <v>15</v>
      </c>
    </row>
    <row r="14" spans="1:7">
      <c r="A14" s="4" t="s">
        <v>23</v>
      </c>
      <c r="B14" s="5">
        <v>3328746.2</v>
      </c>
      <c r="C14" s="4" t="s">
        <v>13</v>
      </c>
      <c r="D14" s="6">
        <v>33.93</v>
      </c>
      <c r="E14" s="4" t="s">
        <v>14</v>
      </c>
      <c r="F14" s="6" t="s">
        <v>16</v>
      </c>
      <c r="G14" s="6"/>
    </row>
    <row r="15" spans="1:7" ht="15.75" thickBot="1">
      <c r="A15" s="10" t="s">
        <v>24</v>
      </c>
      <c r="B15" s="11">
        <v>2665369.6000000001</v>
      </c>
      <c r="C15" s="10" t="s">
        <v>13</v>
      </c>
      <c r="D15" s="12">
        <v>27.17</v>
      </c>
      <c r="E15" s="10" t="s">
        <v>14</v>
      </c>
      <c r="F15" s="12" t="s">
        <v>16</v>
      </c>
      <c r="G15" s="29"/>
    </row>
    <row r="17" spans="1:6" ht="21" customHeight="1">
      <c r="A17" s="326" t="s">
        <v>44</v>
      </c>
      <c r="B17" s="326"/>
    </row>
    <row r="18" spans="1:6" ht="26.25" thickBot="1">
      <c r="A18" s="2" t="s">
        <v>29</v>
      </c>
      <c r="B18" s="3" t="s">
        <v>30</v>
      </c>
      <c r="C18" s="3" t="s">
        <v>31</v>
      </c>
      <c r="D18" s="2" t="s">
        <v>36</v>
      </c>
      <c r="E18" s="3" t="s">
        <v>30</v>
      </c>
      <c r="F18" s="3" t="s">
        <v>31</v>
      </c>
    </row>
    <row r="19" spans="1:6">
      <c r="A19" s="7" t="s">
        <v>25</v>
      </c>
      <c r="B19" s="9">
        <v>66.888199999999998</v>
      </c>
      <c r="C19" s="8">
        <v>66041700.899999999</v>
      </c>
      <c r="D19" s="7" t="s">
        <v>37</v>
      </c>
      <c r="E19" s="9">
        <v>1.9E-3</v>
      </c>
      <c r="F19" s="8">
        <v>1848</v>
      </c>
    </row>
    <row r="20" spans="1:6">
      <c r="A20" s="7" t="s">
        <v>26</v>
      </c>
      <c r="B20" s="9">
        <v>0.84830000000000005</v>
      </c>
      <c r="C20" s="8">
        <v>837566.7</v>
      </c>
      <c r="D20" s="7" t="s">
        <v>38</v>
      </c>
      <c r="E20" s="9">
        <v>0</v>
      </c>
      <c r="F20" s="9">
        <v>0</v>
      </c>
    </row>
    <row r="21" spans="1:6">
      <c r="A21" s="7" t="s">
        <v>27</v>
      </c>
      <c r="B21" s="9">
        <v>13.748799999999999</v>
      </c>
      <c r="C21" s="8">
        <v>13574805.199999999</v>
      </c>
      <c r="D21" s="7" t="s">
        <v>39</v>
      </c>
      <c r="E21" s="9">
        <v>0</v>
      </c>
      <c r="F21" s="9">
        <v>0</v>
      </c>
    </row>
    <row r="22" spans="1:6">
      <c r="A22" s="7" t="s">
        <v>32</v>
      </c>
      <c r="B22" s="9">
        <v>1.022</v>
      </c>
      <c r="C22" s="8">
        <v>1009110.5</v>
      </c>
      <c r="D22" s="7" t="s">
        <v>40</v>
      </c>
      <c r="E22" s="9">
        <v>1.8932</v>
      </c>
      <c r="F22" s="8">
        <v>1869202</v>
      </c>
    </row>
    <row r="23" spans="1:6">
      <c r="A23" s="7" t="s">
        <v>33</v>
      </c>
      <c r="B23" s="9">
        <v>15.5976</v>
      </c>
      <c r="C23" s="8">
        <v>15400191</v>
      </c>
      <c r="D23" s="7" t="s">
        <v>41</v>
      </c>
      <c r="E23" s="9">
        <v>0</v>
      </c>
      <c r="F23" s="8">
        <v>-635516.5</v>
      </c>
    </row>
    <row r="24" spans="1:6" ht="27" thickBot="1">
      <c r="A24" s="7" t="s">
        <v>34</v>
      </c>
      <c r="B24" s="9">
        <v>0</v>
      </c>
      <c r="C24" s="9">
        <v>0</v>
      </c>
      <c r="D24" s="9"/>
      <c r="E24" s="9"/>
      <c r="F24" s="9"/>
    </row>
    <row r="25" spans="1:6">
      <c r="A25" s="13" t="s">
        <v>35</v>
      </c>
      <c r="B25" s="14">
        <v>98.105000000000004</v>
      </c>
      <c r="C25" s="15">
        <v>96863374.299999997</v>
      </c>
      <c r="D25" s="13" t="s">
        <v>42</v>
      </c>
      <c r="E25" s="14">
        <v>1.895</v>
      </c>
      <c r="F25" s="15">
        <v>1235533.5</v>
      </c>
    </row>
    <row r="26" spans="1:6" ht="27" thickBot="1">
      <c r="A26" s="16"/>
      <c r="B26" s="16"/>
      <c r="C26" s="16"/>
      <c r="D26" s="17" t="s">
        <v>43</v>
      </c>
      <c r="E26" s="16">
        <v>1.895</v>
      </c>
      <c r="F26" s="18">
        <v>1871050</v>
      </c>
    </row>
    <row r="36" spans="1:5" ht="48" thickBot="1">
      <c r="A36" s="51" t="s">
        <v>5</v>
      </c>
      <c r="B36" s="52" t="s">
        <v>70</v>
      </c>
      <c r="C36" s="52" t="s">
        <v>7</v>
      </c>
      <c r="D36" s="52" t="s">
        <v>71</v>
      </c>
      <c r="E36" s="52" t="s">
        <v>7</v>
      </c>
    </row>
    <row r="37" spans="1:5" ht="19.5">
      <c r="A37" s="53" t="s">
        <v>72</v>
      </c>
      <c r="B37" s="54">
        <v>1663.15</v>
      </c>
      <c r="C37" s="53" t="s">
        <v>11</v>
      </c>
      <c r="D37" s="54">
        <v>1840.29</v>
      </c>
      <c r="E37" s="53" t="s">
        <v>11</v>
      </c>
    </row>
    <row r="38" spans="1:5" ht="19.5">
      <c r="A38" s="55" t="s">
        <v>73</v>
      </c>
      <c r="B38" s="56">
        <v>7.1077000000000004</v>
      </c>
      <c r="C38" s="55" t="s">
        <v>11</v>
      </c>
      <c r="D38" s="56">
        <v>8.7113999999999994</v>
      </c>
      <c r="E38" s="55" t="s">
        <v>11</v>
      </c>
    </row>
    <row r="39" spans="1:5" ht="19.5">
      <c r="A39" s="55" t="s">
        <v>74</v>
      </c>
      <c r="B39" s="56">
        <v>2.2587000000000002</v>
      </c>
      <c r="C39" s="55" t="s">
        <v>11</v>
      </c>
      <c r="D39" s="56">
        <v>2.7604000000000002</v>
      </c>
      <c r="E39" s="55" t="s">
        <v>11</v>
      </c>
    </row>
    <row r="40" spans="1:5" ht="34.5">
      <c r="A40" s="55" t="s">
        <v>75</v>
      </c>
      <c r="B40" s="56">
        <v>1.7129000000000001</v>
      </c>
      <c r="C40" s="55" t="s">
        <v>11</v>
      </c>
      <c r="D40" s="56">
        <v>2.3765999999999998</v>
      </c>
      <c r="E40" s="55" t="s">
        <v>11</v>
      </c>
    </row>
    <row r="41" spans="1:5" ht="19.5">
      <c r="A41" s="55" t="s">
        <v>76</v>
      </c>
      <c r="B41" s="56">
        <v>3.5900000000000001E-2</v>
      </c>
      <c r="C41" s="55" t="s">
        <v>14</v>
      </c>
      <c r="D41" s="56">
        <v>4.3499999999999997E-2</v>
      </c>
      <c r="E41" s="55" t="s">
        <v>14</v>
      </c>
    </row>
    <row r="42" spans="1:5" ht="19.5">
      <c r="A42" s="53" t="s">
        <v>77</v>
      </c>
      <c r="B42" s="57">
        <v>29.4</v>
      </c>
      <c r="C42" s="53" t="s">
        <v>14</v>
      </c>
      <c r="D42" s="57">
        <v>39.950000000000003</v>
      </c>
      <c r="E42" s="53" t="s">
        <v>14</v>
      </c>
    </row>
    <row r="43" spans="1:5" ht="20.25" thickBot="1">
      <c r="A43" s="58" t="s">
        <v>78</v>
      </c>
      <c r="B43" s="59">
        <v>26.24</v>
      </c>
      <c r="C43" s="58" t="s">
        <v>14</v>
      </c>
      <c r="D43" s="59">
        <v>31.98</v>
      </c>
      <c r="E43" s="58" t="s">
        <v>14</v>
      </c>
    </row>
  </sheetData>
  <mergeCells count="1">
    <mergeCell ref="A17:B17"/>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sheetPr codeName="Sheet11"/>
  <dimension ref="A1:L43"/>
  <sheetViews>
    <sheetView topLeftCell="A19" workbookViewId="0">
      <selection activeCell="D39" sqref="D39"/>
    </sheetView>
  </sheetViews>
  <sheetFormatPr defaultRowHeight="15"/>
  <cols>
    <col min="1" max="1" width="17.7109375" customWidth="1"/>
    <col min="2" max="2" width="19" customWidth="1"/>
    <col min="3" max="3" width="16.5703125" customWidth="1"/>
    <col min="4" max="4" width="20" customWidth="1"/>
    <col min="6" max="6" width="16.140625" customWidth="1"/>
    <col min="7" max="7" width="15.28515625" customWidth="1"/>
    <col min="8" max="8" width="11.5703125" bestFit="1" customWidth="1"/>
    <col min="9" max="9" width="44.5703125" customWidth="1"/>
  </cols>
  <sheetData>
    <row r="1" spans="1:9" ht="16.5" thickBot="1">
      <c r="A1" s="1" t="s">
        <v>48</v>
      </c>
    </row>
    <row r="2" spans="1:9">
      <c r="A2" s="7" t="s">
        <v>0</v>
      </c>
      <c r="B2" s="9" t="s">
        <v>28</v>
      </c>
      <c r="C2" s="31"/>
      <c r="D2" s="31"/>
      <c r="E2" s="31"/>
      <c r="F2" s="31"/>
      <c r="G2" s="31"/>
    </row>
    <row r="3" spans="1:9">
      <c r="A3" s="7" t="s">
        <v>2</v>
      </c>
      <c r="B3" s="8">
        <v>141064.29999999999</v>
      </c>
      <c r="C3" s="31"/>
      <c r="D3" s="31"/>
      <c r="E3" s="31"/>
      <c r="F3" s="31"/>
      <c r="G3" s="31"/>
    </row>
    <row r="4" spans="1:9" ht="26.25">
      <c r="A4" s="7" t="s">
        <v>3</v>
      </c>
      <c r="B4" s="8">
        <v>616444377.10000002</v>
      </c>
      <c r="C4" s="31"/>
      <c r="D4" s="31"/>
      <c r="E4" s="31"/>
      <c r="F4" s="31"/>
      <c r="G4" s="31"/>
    </row>
    <row r="5" spans="1:9" ht="15.75" thickBot="1">
      <c r="A5" s="17" t="s">
        <v>4</v>
      </c>
      <c r="B5" s="18">
        <v>4719423182.1999998</v>
      </c>
      <c r="C5" s="31"/>
      <c r="D5" s="31"/>
      <c r="E5" s="31"/>
      <c r="F5" s="31"/>
      <c r="G5" s="31"/>
    </row>
    <row r="6" spans="1:9" ht="102.75">
      <c r="A6" s="31"/>
      <c r="B6" s="31"/>
      <c r="C6" s="31"/>
      <c r="D6" s="31"/>
      <c r="E6" s="31"/>
      <c r="F6" s="31"/>
      <c r="G6" s="31"/>
      <c r="I6" s="60" t="s">
        <v>57</v>
      </c>
    </row>
    <row r="7" spans="1:9">
      <c r="A7" s="30" t="s">
        <v>45</v>
      </c>
      <c r="B7" s="31"/>
      <c r="C7" s="31"/>
      <c r="D7" s="31"/>
      <c r="E7" s="31"/>
      <c r="F7" s="31"/>
      <c r="G7" s="31"/>
    </row>
    <row r="8" spans="1:9" ht="27" thickBot="1">
      <c r="A8" s="26" t="s">
        <v>5</v>
      </c>
      <c r="B8" s="27" t="s">
        <v>6</v>
      </c>
      <c r="C8" s="26" t="s">
        <v>7</v>
      </c>
      <c r="D8" s="27" t="s">
        <v>8</v>
      </c>
      <c r="E8" s="26" t="s">
        <v>7</v>
      </c>
      <c r="F8" s="27" t="s">
        <v>9</v>
      </c>
      <c r="G8" s="26" t="s">
        <v>7</v>
      </c>
    </row>
    <row r="9" spans="1:9">
      <c r="A9" s="4" t="s">
        <v>18</v>
      </c>
      <c r="B9" s="5">
        <v>473991771.60000002</v>
      </c>
      <c r="C9" s="4" t="s">
        <v>10</v>
      </c>
      <c r="D9" s="5">
        <v>1537.82</v>
      </c>
      <c r="E9" s="4" t="s">
        <v>11</v>
      </c>
      <c r="F9" s="6">
        <v>200.87</v>
      </c>
      <c r="G9" s="4" t="s">
        <v>12</v>
      </c>
    </row>
    <row r="10" spans="1:9">
      <c r="A10" s="7" t="s">
        <v>19</v>
      </c>
      <c r="B10" s="8">
        <v>3015765.64</v>
      </c>
      <c r="C10" s="7" t="s">
        <v>10</v>
      </c>
      <c r="D10" s="9">
        <v>9.7843999999999998</v>
      </c>
      <c r="E10" s="7" t="s">
        <v>11</v>
      </c>
      <c r="F10" s="9">
        <v>1.278</v>
      </c>
      <c r="G10" s="7" t="s">
        <v>12</v>
      </c>
    </row>
    <row r="11" spans="1:9">
      <c r="A11" s="7" t="s">
        <v>20</v>
      </c>
      <c r="B11" s="8">
        <v>795437.86</v>
      </c>
      <c r="C11" s="7" t="s">
        <v>10</v>
      </c>
      <c r="D11" s="9">
        <v>2.5807000000000002</v>
      </c>
      <c r="E11" s="7" t="s">
        <v>11</v>
      </c>
      <c r="F11" s="9">
        <v>0.33710000000000001</v>
      </c>
      <c r="G11" s="7" t="s">
        <v>12</v>
      </c>
    </row>
    <row r="12" spans="1:9">
      <c r="A12" s="7" t="s">
        <v>21</v>
      </c>
      <c r="B12" s="8">
        <v>193114.56</v>
      </c>
      <c r="C12" s="7" t="s">
        <v>10</v>
      </c>
      <c r="D12" s="9">
        <v>1.4360999999999999</v>
      </c>
      <c r="E12" s="7" t="s">
        <v>11</v>
      </c>
      <c r="F12" s="9">
        <v>0.1875</v>
      </c>
      <c r="G12" s="7" t="s">
        <v>12</v>
      </c>
    </row>
    <row r="13" spans="1:9">
      <c r="A13" s="7" t="s">
        <v>22</v>
      </c>
      <c r="B13" s="8">
        <v>27309.45</v>
      </c>
      <c r="C13" s="7" t="s">
        <v>13</v>
      </c>
      <c r="D13" s="9">
        <v>4.4299999999999999E-2</v>
      </c>
      <c r="E13" s="7" t="s">
        <v>14</v>
      </c>
      <c r="F13" s="9">
        <v>5.7999999999999996E-3</v>
      </c>
      <c r="G13" s="7" t="s">
        <v>15</v>
      </c>
    </row>
    <row r="14" spans="1:9">
      <c r="A14" s="4" t="s">
        <v>23</v>
      </c>
      <c r="B14" s="5">
        <v>11240769.199999999</v>
      </c>
      <c r="C14" s="4" t="s">
        <v>13</v>
      </c>
      <c r="D14" s="6">
        <v>18.23</v>
      </c>
      <c r="E14" s="4" t="s">
        <v>14</v>
      </c>
      <c r="F14" s="6" t="s">
        <v>16</v>
      </c>
      <c r="G14" s="6"/>
    </row>
    <row r="15" spans="1:9" ht="15.75" thickBot="1">
      <c r="A15" s="10" t="s">
        <v>24</v>
      </c>
      <c r="B15" s="11">
        <v>15848034.9</v>
      </c>
      <c r="C15" s="10" t="s">
        <v>13</v>
      </c>
      <c r="D15" s="12">
        <v>25.71</v>
      </c>
      <c r="E15" s="10" t="s">
        <v>14</v>
      </c>
      <c r="F15" s="12" t="s">
        <v>16</v>
      </c>
      <c r="G15" s="29"/>
    </row>
    <row r="16" spans="1:9">
      <c r="A16" s="31"/>
      <c r="B16" s="31"/>
      <c r="C16" s="31"/>
      <c r="D16" s="31"/>
      <c r="E16" s="31"/>
      <c r="F16" s="31"/>
      <c r="G16" s="31"/>
    </row>
    <row r="17" spans="1:7">
      <c r="A17" s="31"/>
      <c r="B17" s="31"/>
      <c r="C17" s="31"/>
      <c r="D17" s="31"/>
      <c r="E17" s="31"/>
      <c r="F17" s="31"/>
      <c r="G17" s="31"/>
    </row>
    <row r="18" spans="1:7" ht="27" thickBot="1">
      <c r="A18" s="26" t="s">
        <v>29</v>
      </c>
      <c r="B18" s="27" t="s">
        <v>30</v>
      </c>
      <c r="C18" s="27" t="s">
        <v>31</v>
      </c>
      <c r="D18" s="26" t="s">
        <v>36</v>
      </c>
      <c r="E18" s="27" t="s">
        <v>30</v>
      </c>
      <c r="F18" s="27" t="s">
        <v>31</v>
      </c>
      <c r="G18" s="31"/>
    </row>
    <row r="19" spans="1:7">
      <c r="A19" s="7" t="s">
        <v>25</v>
      </c>
      <c r="B19" s="9">
        <v>72.827299999999994</v>
      </c>
      <c r="C19" s="8">
        <v>448939648.89999998</v>
      </c>
      <c r="D19" s="7" t="s">
        <v>37</v>
      </c>
      <c r="E19" s="9">
        <v>6.5500000000000003E-2</v>
      </c>
      <c r="F19" s="8">
        <v>403866</v>
      </c>
      <c r="G19" s="31"/>
    </row>
    <row r="20" spans="1:7">
      <c r="A20" s="7" t="s">
        <v>26</v>
      </c>
      <c r="B20" s="9">
        <v>0.35460000000000003</v>
      </c>
      <c r="C20" s="8">
        <v>2185825.9</v>
      </c>
      <c r="D20" s="7" t="s">
        <v>38</v>
      </c>
      <c r="E20" s="9">
        <v>0</v>
      </c>
      <c r="F20" s="9">
        <v>0</v>
      </c>
      <c r="G20" s="31"/>
    </row>
    <row r="21" spans="1:7">
      <c r="A21" s="7" t="s">
        <v>27</v>
      </c>
      <c r="B21" s="9">
        <v>2.7265000000000001</v>
      </c>
      <c r="C21" s="8">
        <v>16807193.600000001</v>
      </c>
      <c r="D21" s="7" t="s">
        <v>39</v>
      </c>
      <c r="E21" s="9">
        <v>0</v>
      </c>
      <c r="F21" s="9">
        <v>0</v>
      </c>
      <c r="G21" s="31"/>
    </row>
    <row r="22" spans="1:7">
      <c r="A22" s="7" t="s">
        <v>32</v>
      </c>
      <c r="B22" s="9">
        <v>0.61319999999999997</v>
      </c>
      <c r="C22" s="8">
        <v>3779923</v>
      </c>
      <c r="D22" s="7" t="s">
        <v>40</v>
      </c>
      <c r="E22" s="9">
        <v>0.33860000000000001</v>
      </c>
      <c r="F22" s="8">
        <v>2087006.7</v>
      </c>
      <c r="G22" s="31"/>
    </row>
    <row r="23" spans="1:7">
      <c r="A23" s="7" t="s">
        <v>33</v>
      </c>
      <c r="B23" s="9">
        <v>22.335999999999999</v>
      </c>
      <c r="C23" s="8">
        <v>137689058</v>
      </c>
      <c r="D23" s="7" t="s">
        <v>41</v>
      </c>
      <c r="E23" s="9">
        <v>0.6694</v>
      </c>
      <c r="F23" s="8">
        <v>4126545</v>
      </c>
      <c r="G23" s="31"/>
    </row>
    <row r="24" spans="1:7" ht="27" thickBot="1">
      <c r="A24" s="7" t="s">
        <v>34</v>
      </c>
      <c r="B24" s="9">
        <v>6.9000000000000006E-2</v>
      </c>
      <c r="C24" s="8">
        <v>425310.1</v>
      </c>
      <c r="D24" s="9"/>
      <c r="E24" s="9"/>
      <c r="F24" s="9"/>
      <c r="G24" s="31"/>
    </row>
    <row r="25" spans="1:7" s="38" customFormat="1">
      <c r="A25" s="35" t="s">
        <v>35</v>
      </c>
      <c r="B25" s="36">
        <v>98.926500000000004</v>
      </c>
      <c r="C25" s="37">
        <v>609826959.5</v>
      </c>
      <c r="D25" s="35" t="s">
        <v>42</v>
      </c>
      <c r="E25" s="36">
        <v>1.0734999999999999</v>
      </c>
      <c r="F25" s="37">
        <v>6617417.5999999996</v>
      </c>
      <c r="G25" s="20"/>
    </row>
    <row r="26" spans="1:7" s="38" customFormat="1" ht="26.25" thickBot="1">
      <c r="A26" s="39"/>
      <c r="B26" s="39"/>
      <c r="C26" s="39"/>
      <c r="D26" s="24" t="s">
        <v>43</v>
      </c>
      <c r="E26" s="39">
        <v>0.40410000000000001</v>
      </c>
      <c r="F26" s="25">
        <v>2490872.6</v>
      </c>
      <c r="G26" s="20"/>
    </row>
    <row r="27" spans="1:7">
      <c r="A27" s="31"/>
      <c r="B27" s="31"/>
      <c r="C27" s="31"/>
      <c r="D27" s="31"/>
      <c r="E27" s="31"/>
      <c r="F27" s="31"/>
      <c r="G27" s="31"/>
    </row>
    <row r="28" spans="1:7">
      <c r="A28" s="31"/>
      <c r="B28" s="31"/>
      <c r="C28" s="31"/>
      <c r="D28" s="31"/>
      <c r="E28" s="31"/>
      <c r="F28" s="31"/>
      <c r="G28" s="31"/>
    </row>
    <row r="29" spans="1:7">
      <c r="A29" s="31"/>
      <c r="B29" s="31"/>
      <c r="C29" s="31"/>
      <c r="D29" s="31"/>
      <c r="E29" s="31"/>
      <c r="F29" s="31"/>
      <c r="G29" s="31"/>
    </row>
    <row r="30" spans="1:7" ht="15.75" thickBot="1">
      <c r="A30" s="27"/>
      <c r="B30" s="27" t="s">
        <v>30</v>
      </c>
      <c r="C30" s="27" t="s">
        <v>31</v>
      </c>
      <c r="D30" s="31"/>
      <c r="E30" s="31"/>
      <c r="F30" s="31"/>
      <c r="G30" s="31"/>
    </row>
    <row r="31" spans="1:7">
      <c r="A31" s="7" t="s">
        <v>46</v>
      </c>
      <c r="B31" s="9">
        <v>76.929100000000005</v>
      </c>
      <c r="C31" s="8">
        <v>474224908.10000002</v>
      </c>
      <c r="D31" s="31"/>
      <c r="E31" s="31"/>
      <c r="F31" s="31"/>
      <c r="G31" s="31"/>
    </row>
    <row r="32" spans="1:7" ht="27" thickBot="1">
      <c r="A32" s="17" t="s">
        <v>47</v>
      </c>
      <c r="B32" s="16">
        <v>23.070900000000002</v>
      </c>
      <c r="C32" s="18">
        <v>142219469</v>
      </c>
      <c r="D32" s="31"/>
      <c r="E32" s="31"/>
      <c r="F32" s="31"/>
      <c r="G32" s="31"/>
    </row>
    <row r="35" spans="1:12" ht="16.5" thickBot="1">
      <c r="A35" s="51"/>
      <c r="B35" s="52"/>
      <c r="C35" s="52"/>
      <c r="D35" s="52"/>
      <c r="E35" s="52"/>
    </row>
    <row r="36" spans="1:12" ht="48" thickBot="1">
      <c r="A36" s="51" t="s">
        <v>5</v>
      </c>
      <c r="B36" s="52" t="s">
        <v>70</v>
      </c>
      <c r="C36" s="52" t="s">
        <v>7</v>
      </c>
      <c r="D36" s="52" t="s">
        <v>71</v>
      </c>
      <c r="E36" s="52" t="s">
        <v>7</v>
      </c>
      <c r="F36" s="67" t="e">
        <f>L38*B36</f>
        <v>#VALUE!</v>
      </c>
      <c r="G36" s="63" t="e">
        <f>F36/2000</f>
        <v>#VALUE!</v>
      </c>
      <c r="H36" s="63" t="e">
        <f>G36*0.2</f>
        <v>#VALUE!</v>
      </c>
      <c r="I36">
        <v>1500</v>
      </c>
      <c r="J36">
        <v>1800</v>
      </c>
      <c r="K36">
        <v>1400</v>
      </c>
    </row>
    <row r="37" spans="1:12" ht="19.5">
      <c r="A37" s="53" t="s">
        <v>72</v>
      </c>
      <c r="B37" s="54">
        <v>1992.86</v>
      </c>
      <c r="C37" s="53" t="s">
        <v>11</v>
      </c>
      <c r="D37" s="54">
        <v>1999.02</v>
      </c>
      <c r="E37" s="53" t="s">
        <v>11</v>
      </c>
      <c r="F37" s="67">
        <f>B37*L38</f>
        <v>23131126.02</v>
      </c>
      <c r="G37" s="63">
        <f>F37/2000</f>
        <v>11565.56301</v>
      </c>
      <c r="I37">
        <v>15</v>
      </c>
      <c r="J37">
        <v>18</v>
      </c>
      <c r="K37">
        <v>16.8</v>
      </c>
    </row>
    <row r="38" spans="1:12" ht="19.5">
      <c r="A38" s="55" t="s">
        <v>73</v>
      </c>
      <c r="B38" s="56">
        <v>14.2965</v>
      </c>
      <c r="C38" s="55" t="s">
        <v>11</v>
      </c>
      <c r="D38" s="56">
        <v>12.7187</v>
      </c>
      <c r="E38" s="55" t="s">
        <v>11</v>
      </c>
      <c r="F38" s="67">
        <f>L38*B38</f>
        <v>165939.4755</v>
      </c>
      <c r="G38" s="63">
        <f>F38/2000</f>
        <v>82.969737750000007</v>
      </c>
      <c r="I38">
        <f>I37*365</f>
        <v>5475</v>
      </c>
      <c r="J38">
        <f>J37*365</f>
        <v>6570</v>
      </c>
      <c r="K38">
        <f>K37*365</f>
        <v>6132</v>
      </c>
      <c r="L38">
        <f>K38+I38</f>
        <v>11607</v>
      </c>
    </row>
    <row r="39" spans="1:12" ht="19.5">
      <c r="A39" s="55" t="s">
        <v>74</v>
      </c>
      <c r="B39" s="56">
        <v>3.4342000000000001</v>
      </c>
      <c r="C39" s="55" t="s">
        <v>11</v>
      </c>
      <c r="D39" s="56">
        <v>3.3546999999999998</v>
      </c>
      <c r="E39" s="55" t="s">
        <v>11</v>
      </c>
      <c r="F39" s="67">
        <f>L38*B39</f>
        <v>39860.759400000003</v>
      </c>
      <c r="G39" s="63">
        <f>F39/2000</f>
        <v>19.9303797</v>
      </c>
      <c r="I39">
        <v>1.5E-3</v>
      </c>
      <c r="J39">
        <v>1.8E-3</v>
      </c>
      <c r="K39">
        <v>1.6800000000000001E-3</v>
      </c>
    </row>
    <row r="40" spans="1:12" ht="34.5">
      <c r="A40" s="55" t="s">
        <v>75</v>
      </c>
      <c r="B40" s="56">
        <v>2.4927999999999999</v>
      </c>
      <c r="C40" s="55" t="s">
        <v>11</v>
      </c>
      <c r="D40" s="56">
        <v>1.8668</v>
      </c>
      <c r="E40" s="55" t="s">
        <v>11</v>
      </c>
      <c r="F40" s="68">
        <f>L40*D40</f>
        <v>2.1667947600000002</v>
      </c>
      <c r="I40">
        <f>I39*365</f>
        <v>0.54749999999999999</v>
      </c>
      <c r="J40">
        <f>J39*365</f>
        <v>0.65700000000000003</v>
      </c>
      <c r="K40">
        <f>K39*365</f>
        <v>0.61320000000000008</v>
      </c>
      <c r="L40">
        <f>I40+K40</f>
        <v>1.1607000000000001</v>
      </c>
    </row>
    <row r="41" spans="1:12" ht="19.5">
      <c r="A41" s="55" t="s">
        <v>76</v>
      </c>
      <c r="B41" s="56">
        <v>6.0499999999999998E-2</v>
      </c>
      <c r="C41" s="55" t="s">
        <v>14</v>
      </c>
      <c r="D41" s="56">
        <v>5.7599999999999998E-2</v>
      </c>
      <c r="E41" s="55" t="s">
        <v>14</v>
      </c>
      <c r="F41" s="67">
        <f>L40*D41</f>
        <v>6.6856319999999997E-2</v>
      </c>
    </row>
    <row r="42" spans="1:12" ht="19.5">
      <c r="A42" s="53" t="s">
        <v>77</v>
      </c>
      <c r="B42" s="57">
        <v>24.49</v>
      </c>
      <c r="C42" s="53" t="s">
        <v>14</v>
      </c>
      <c r="D42" s="57">
        <v>23.7</v>
      </c>
      <c r="E42" s="53" t="s">
        <v>14</v>
      </c>
      <c r="F42" s="67">
        <f>L40*D42</f>
        <v>27.508590000000002</v>
      </c>
    </row>
    <row r="43" spans="1:12" ht="20.25" thickBot="1">
      <c r="A43" s="58" t="s">
        <v>78</v>
      </c>
      <c r="B43" s="59">
        <v>31.72</v>
      </c>
      <c r="C43" s="58" t="s">
        <v>14</v>
      </c>
      <c r="D43" s="59">
        <v>33.42</v>
      </c>
      <c r="E43" s="58" t="s">
        <v>14</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sheetPr codeName="Sheet12"/>
  <dimension ref="A1:J43"/>
  <sheetViews>
    <sheetView workbookViewId="0">
      <selection activeCell="D23" sqref="D23"/>
    </sheetView>
  </sheetViews>
  <sheetFormatPr defaultRowHeight="15"/>
  <cols>
    <col min="1" max="1" width="13" customWidth="1"/>
    <col min="2" max="2" width="15.140625" customWidth="1"/>
    <col min="3" max="3" width="17.85546875" customWidth="1"/>
    <col min="4" max="4" width="26.140625" customWidth="1"/>
    <col min="6" max="6" width="18.140625" customWidth="1"/>
  </cols>
  <sheetData>
    <row r="1" spans="1:10" s="38" customFormat="1" ht="15.75" thickBot="1">
      <c r="A1" s="19" t="s">
        <v>50</v>
      </c>
      <c r="B1" s="20"/>
      <c r="C1" s="20"/>
      <c r="D1" s="20"/>
      <c r="E1" s="20"/>
      <c r="F1" s="20"/>
      <c r="G1" s="20"/>
      <c r="H1" s="20"/>
      <c r="I1" s="20"/>
      <c r="J1" s="20"/>
    </row>
    <row r="2" spans="1:10" s="38" customFormat="1">
      <c r="A2" s="21" t="s">
        <v>0</v>
      </c>
      <c r="B2" s="22" t="s">
        <v>49</v>
      </c>
      <c r="C2" s="20"/>
      <c r="D2" s="20"/>
      <c r="E2" s="20"/>
      <c r="F2" s="20"/>
      <c r="G2" s="20"/>
      <c r="H2" s="20"/>
      <c r="I2" s="20"/>
      <c r="J2" s="20"/>
    </row>
    <row r="3" spans="1:10" s="38" customFormat="1" ht="25.5">
      <c r="A3" s="21" t="s">
        <v>2</v>
      </c>
      <c r="B3" s="23">
        <v>25397</v>
      </c>
      <c r="C3" s="20"/>
      <c r="D3" s="20"/>
      <c r="E3" s="20"/>
      <c r="F3" s="20"/>
      <c r="G3" s="20"/>
      <c r="H3" s="20"/>
      <c r="I3" s="20"/>
      <c r="J3" s="20"/>
    </row>
    <row r="4" spans="1:10" s="38" customFormat="1" ht="25.5">
      <c r="A4" s="21" t="s">
        <v>3</v>
      </c>
      <c r="B4" s="23">
        <v>94518318.5</v>
      </c>
      <c r="C4" s="20"/>
      <c r="D4" s="20"/>
      <c r="E4" s="20"/>
      <c r="F4" s="20"/>
      <c r="G4" s="20"/>
      <c r="H4" s="20"/>
      <c r="I4" s="20"/>
      <c r="J4" s="20"/>
    </row>
    <row r="5" spans="1:10" s="38" customFormat="1" ht="26.25" thickBot="1">
      <c r="A5" s="24" t="s">
        <v>4</v>
      </c>
      <c r="B5" s="25">
        <v>389293663.5</v>
      </c>
      <c r="C5" s="20"/>
      <c r="D5" s="20"/>
      <c r="E5" s="20"/>
      <c r="F5" s="20"/>
      <c r="G5" s="20"/>
      <c r="H5" s="20"/>
      <c r="I5" s="20"/>
      <c r="J5" s="20"/>
    </row>
    <row r="6" spans="1:10" s="38" customFormat="1">
      <c r="A6" s="20"/>
      <c r="B6" s="20"/>
      <c r="C6" s="20"/>
      <c r="D6" s="20"/>
      <c r="E6" s="20"/>
      <c r="F6" s="20"/>
      <c r="G6" s="20"/>
      <c r="H6" s="20"/>
      <c r="I6" s="20"/>
      <c r="J6" s="20"/>
    </row>
    <row r="7" spans="1:10" s="38" customFormat="1">
      <c r="A7" s="48" t="s">
        <v>45</v>
      </c>
      <c r="B7" s="20"/>
      <c r="C7" s="20"/>
      <c r="D7" s="20"/>
      <c r="E7" s="20"/>
      <c r="F7" s="20"/>
      <c r="G7" s="20"/>
      <c r="H7" s="20"/>
      <c r="I7" s="20"/>
      <c r="J7" s="20"/>
    </row>
    <row r="8" spans="1:10" s="38" customFormat="1" ht="15.75" thickBot="1">
      <c r="A8" s="2" t="s">
        <v>5</v>
      </c>
      <c r="B8" s="3" t="s">
        <v>6</v>
      </c>
      <c r="C8" s="2" t="s">
        <v>7</v>
      </c>
      <c r="D8" s="3" t="s">
        <v>8</v>
      </c>
      <c r="E8" s="2" t="s">
        <v>7</v>
      </c>
      <c r="F8" s="3" t="s">
        <v>9</v>
      </c>
      <c r="G8" s="2" t="s">
        <v>7</v>
      </c>
      <c r="H8" s="20"/>
      <c r="I8" s="20"/>
      <c r="J8" s="20"/>
    </row>
    <row r="9" spans="1:10" s="38" customFormat="1">
      <c r="A9" s="40" t="s">
        <v>18</v>
      </c>
      <c r="B9" s="41">
        <v>34064326.700000003</v>
      </c>
      <c r="C9" s="40" t="s">
        <v>10</v>
      </c>
      <c r="D9" s="42">
        <v>720.8</v>
      </c>
      <c r="E9" s="40" t="s">
        <v>11</v>
      </c>
      <c r="F9" s="42">
        <v>175.01</v>
      </c>
      <c r="G9" s="40" t="s">
        <v>12</v>
      </c>
      <c r="H9" s="20"/>
      <c r="I9" s="20"/>
      <c r="J9" s="20"/>
    </row>
    <row r="10" spans="1:10" s="38" customFormat="1">
      <c r="A10" s="21" t="s">
        <v>19</v>
      </c>
      <c r="B10" s="23">
        <v>141828.29</v>
      </c>
      <c r="C10" s="21" t="s">
        <v>10</v>
      </c>
      <c r="D10" s="22">
        <v>3.0011000000000001</v>
      </c>
      <c r="E10" s="21" t="s">
        <v>11</v>
      </c>
      <c r="F10" s="22">
        <v>0.72860000000000003</v>
      </c>
      <c r="G10" s="21" t="s">
        <v>12</v>
      </c>
      <c r="H10" s="20"/>
      <c r="I10" s="20"/>
      <c r="J10" s="20"/>
    </row>
    <row r="11" spans="1:10" s="38" customFormat="1">
      <c r="A11" s="21" t="s">
        <v>20</v>
      </c>
      <c r="B11" s="23">
        <v>39314.36</v>
      </c>
      <c r="C11" s="21" t="s">
        <v>10</v>
      </c>
      <c r="D11" s="22">
        <v>0.83189999999999997</v>
      </c>
      <c r="E11" s="21" t="s">
        <v>11</v>
      </c>
      <c r="F11" s="22">
        <v>0.20200000000000001</v>
      </c>
      <c r="G11" s="21" t="s">
        <v>12</v>
      </c>
      <c r="H11" s="20"/>
      <c r="I11" s="20"/>
      <c r="J11" s="20"/>
    </row>
    <row r="12" spans="1:10" s="38" customFormat="1" ht="27">
      <c r="A12" s="21" t="s">
        <v>21</v>
      </c>
      <c r="B12" s="23">
        <v>17641.89</v>
      </c>
      <c r="C12" s="21" t="s">
        <v>10</v>
      </c>
      <c r="D12" s="22">
        <v>0.86619999999999997</v>
      </c>
      <c r="E12" s="21" t="s">
        <v>11</v>
      </c>
      <c r="F12" s="22">
        <v>0.19289999999999999</v>
      </c>
      <c r="G12" s="21" t="s">
        <v>12</v>
      </c>
      <c r="H12" s="20"/>
      <c r="I12" s="20"/>
      <c r="J12" s="20"/>
    </row>
    <row r="13" spans="1:10" s="38" customFormat="1">
      <c r="A13" s="21" t="s">
        <v>22</v>
      </c>
      <c r="B13" s="23">
        <v>1322.26</v>
      </c>
      <c r="C13" s="21" t="s">
        <v>13</v>
      </c>
      <c r="D13" s="22">
        <v>1.4E-2</v>
      </c>
      <c r="E13" s="21" t="s">
        <v>14</v>
      </c>
      <c r="F13" s="22">
        <v>3.3999999999999998E-3</v>
      </c>
      <c r="G13" s="21" t="s">
        <v>15</v>
      </c>
      <c r="H13" s="20"/>
      <c r="I13" s="20"/>
      <c r="J13" s="20"/>
    </row>
    <row r="14" spans="1:10" s="38" customFormat="1">
      <c r="A14" s="40" t="s">
        <v>23</v>
      </c>
      <c r="B14" s="41">
        <v>2345942.1</v>
      </c>
      <c r="C14" s="40" t="s">
        <v>13</v>
      </c>
      <c r="D14" s="42">
        <v>24.82</v>
      </c>
      <c r="E14" s="40" t="s">
        <v>14</v>
      </c>
      <c r="F14" s="42" t="s">
        <v>16</v>
      </c>
      <c r="G14" s="42"/>
      <c r="H14" s="20"/>
      <c r="I14" s="20"/>
      <c r="J14" s="20"/>
    </row>
    <row r="15" spans="1:10" s="38" customFormat="1" ht="15.75" thickBot="1">
      <c r="A15" s="43" t="s">
        <v>24</v>
      </c>
      <c r="B15" s="44">
        <v>1057953.7</v>
      </c>
      <c r="C15" s="43" t="s">
        <v>13</v>
      </c>
      <c r="D15" s="45">
        <v>11.19</v>
      </c>
      <c r="E15" s="43" t="s">
        <v>14</v>
      </c>
      <c r="F15" s="45" t="s">
        <v>16</v>
      </c>
      <c r="G15" s="46"/>
      <c r="H15" s="20"/>
      <c r="I15" s="20"/>
      <c r="J15" s="20"/>
    </row>
    <row r="16" spans="1:10" s="38" customFormat="1">
      <c r="A16" s="20"/>
      <c r="B16" s="20"/>
      <c r="C16" s="20"/>
      <c r="D16" s="20"/>
      <c r="E16" s="20"/>
      <c r="F16" s="20"/>
      <c r="G16" s="20"/>
      <c r="H16" s="20"/>
      <c r="I16" s="20"/>
      <c r="J16" s="20"/>
    </row>
    <row r="17" spans="1:10" s="38" customFormat="1">
      <c r="A17" s="47" t="s">
        <v>44</v>
      </c>
      <c r="B17" s="20"/>
      <c r="C17" s="20"/>
      <c r="D17" s="20"/>
      <c r="E17" s="20"/>
      <c r="F17" s="20"/>
      <c r="G17" s="20"/>
      <c r="H17" s="20"/>
      <c r="I17" s="20"/>
      <c r="J17" s="20"/>
    </row>
    <row r="18" spans="1:10" s="38" customFormat="1" ht="26.25" thickBot="1">
      <c r="A18" s="2" t="s">
        <v>29</v>
      </c>
      <c r="B18" s="3" t="s">
        <v>30</v>
      </c>
      <c r="C18" s="3" t="s">
        <v>31</v>
      </c>
      <c r="D18" s="2" t="s">
        <v>36</v>
      </c>
      <c r="E18" s="3" t="s">
        <v>30</v>
      </c>
      <c r="F18" s="3" t="s">
        <v>31</v>
      </c>
      <c r="G18" s="20"/>
      <c r="H18" s="20"/>
      <c r="I18" s="20"/>
      <c r="J18" s="20"/>
    </row>
    <row r="19" spans="1:10" s="38" customFormat="1">
      <c r="A19" s="21" t="s">
        <v>25</v>
      </c>
      <c r="B19" s="22">
        <v>21.5458</v>
      </c>
      <c r="C19" s="23">
        <v>20364683</v>
      </c>
      <c r="D19" s="21" t="s">
        <v>37</v>
      </c>
      <c r="E19" s="22">
        <v>0.109</v>
      </c>
      <c r="F19" s="23">
        <v>102989.9</v>
      </c>
      <c r="G19" s="20"/>
      <c r="H19" s="20"/>
      <c r="I19" s="20"/>
      <c r="J19" s="20"/>
    </row>
    <row r="20" spans="1:10" s="38" customFormat="1">
      <c r="A20" s="21" t="s">
        <v>26</v>
      </c>
      <c r="B20" s="22">
        <v>7.7609000000000004</v>
      </c>
      <c r="C20" s="23">
        <v>7335499.4000000004</v>
      </c>
      <c r="D20" s="21" t="s">
        <v>38</v>
      </c>
      <c r="E20" s="22">
        <v>0</v>
      </c>
      <c r="F20" s="22">
        <v>0</v>
      </c>
      <c r="G20" s="20"/>
      <c r="H20" s="20"/>
      <c r="I20" s="20"/>
      <c r="J20" s="20"/>
    </row>
    <row r="21" spans="1:10" s="38" customFormat="1">
      <c r="A21" s="21" t="s">
        <v>27</v>
      </c>
      <c r="B21" s="22">
        <v>15.484</v>
      </c>
      <c r="C21" s="23">
        <v>14635195.300000001</v>
      </c>
      <c r="D21" s="21" t="s">
        <v>39</v>
      </c>
      <c r="E21" s="22">
        <v>0</v>
      </c>
      <c r="F21" s="22">
        <v>0</v>
      </c>
      <c r="G21" s="20"/>
      <c r="H21" s="20"/>
      <c r="I21" s="20"/>
      <c r="J21" s="20"/>
    </row>
    <row r="22" spans="1:10" s="38" customFormat="1">
      <c r="A22" s="21" t="s">
        <v>32</v>
      </c>
      <c r="B22" s="22">
        <v>0.44019999999999998</v>
      </c>
      <c r="C22" s="23">
        <v>416096.8</v>
      </c>
      <c r="D22" s="21" t="s">
        <v>40</v>
      </c>
      <c r="E22" s="22">
        <v>1.1873</v>
      </c>
      <c r="F22" s="23">
        <v>1122171.3</v>
      </c>
      <c r="G22" s="20"/>
      <c r="H22" s="20"/>
      <c r="I22" s="20"/>
      <c r="J22" s="20"/>
    </row>
    <row r="23" spans="1:10" s="38" customFormat="1">
      <c r="A23" s="21" t="s">
        <v>33</v>
      </c>
      <c r="B23" s="22">
        <v>27.039400000000001</v>
      </c>
      <c r="C23" s="23">
        <v>25557192</v>
      </c>
      <c r="D23" s="21" t="s">
        <v>41</v>
      </c>
      <c r="E23" s="22">
        <v>26.433499999999999</v>
      </c>
      <c r="F23" s="23">
        <v>24984490.800000001</v>
      </c>
      <c r="G23" s="20"/>
      <c r="H23" s="20"/>
      <c r="I23" s="20"/>
      <c r="J23" s="20"/>
    </row>
    <row r="24" spans="1:10" s="38" customFormat="1" ht="39" thickBot="1">
      <c r="A24" s="21" t="s">
        <v>34</v>
      </c>
      <c r="B24" s="22">
        <v>0</v>
      </c>
      <c r="C24" s="22">
        <v>0</v>
      </c>
      <c r="D24" s="22"/>
      <c r="E24" s="22"/>
      <c r="F24" s="22"/>
      <c r="G24" s="20"/>
      <c r="H24" s="20"/>
      <c r="I24" s="20"/>
      <c r="J24" s="20"/>
    </row>
    <row r="25" spans="1:10" s="38" customFormat="1" ht="25.5">
      <c r="A25" s="35" t="s">
        <v>35</v>
      </c>
      <c r="B25" s="36">
        <v>72.270300000000006</v>
      </c>
      <c r="C25" s="37">
        <v>68308666.5</v>
      </c>
      <c r="D25" s="35" t="s">
        <v>42</v>
      </c>
      <c r="E25" s="36">
        <v>27.729700000000001</v>
      </c>
      <c r="F25" s="37">
        <v>26209652</v>
      </c>
      <c r="G25" s="20"/>
      <c r="H25" s="20"/>
      <c r="I25" s="20"/>
      <c r="J25" s="20"/>
    </row>
    <row r="26" spans="1:10" s="38" customFormat="1" ht="15.75" thickBot="1">
      <c r="A26" s="39"/>
      <c r="B26" s="39"/>
      <c r="C26" s="39"/>
      <c r="D26" s="24" t="s">
        <v>43</v>
      </c>
      <c r="E26" s="39">
        <v>1.2962</v>
      </c>
      <c r="F26" s="25">
        <v>1225161.2</v>
      </c>
      <c r="G26" s="20"/>
      <c r="H26" s="20"/>
      <c r="I26" s="20"/>
      <c r="J26" s="20"/>
    </row>
    <row r="27" spans="1:10" s="38" customFormat="1">
      <c r="A27" s="20"/>
      <c r="B27" s="20"/>
      <c r="C27" s="20"/>
      <c r="D27" s="20"/>
      <c r="E27" s="20"/>
      <c r="F27" s="20"/>
      <c r="G27" s="20"/>
      <c r="H27" s="20"/>
      <c r="I27" s="20"/>
      <c r="J27" s="20"/>
    </row>
    <row r="28" spans="1:10" s="38" customFormat="1" ht="15.75" thickBot="1">
      <c r="A28" s="3"/>
      <c r="B28" s="3" t="s">
        <v>30</v>
      </c>
      <c r="C28" s="3" t="s">
        <v>31</v>
      </c>
      <c r="D28" s="20"/>
      <c r="E28" s="20"/>
      <c r="F28" s="20"/>
      <c r="G28" s="20"/>
      <c r="H28" s="20"/>
      <c r="I28" s="20"/>
      <c r="J28" s="20"/>
    </row>
    <row r="29" spans="1:10" s="38" customFormat="1" ht="25.5">
      <c r="A29" s="21" t="s">
        <v>46</v>
      </c>
      <c r="B29" s="22">
        <v>46.418100000000003</v>
      </c>
      <c r="C29" s="23">
        <v>43873645.799999997</v>
      </c>
      <c r="D29" s="20"/>
      <c r="E29" s="20"/>
      <c r="F29" s="20"/>
      <c r="G29" s="20"/>
      <c r="H29" s="20"/>
      <c r="I29" s="20"/>
      <c r="J29" s="20"/>
    </row>
    <row r="30" spans="1:10" s="38" customFormat="1" ht="26.25" thickBot="1">
      <c r="A30" s="24" t="s">
        <v>47</v>
      </c>
      <c r="B30" s="39">
        <v>53.581899999999997</v>
      </c>
      <c r="C30" s="25">
        <v>50644672.799999997</v>
      </c>
      <c r="D30" s="20"/>
      <c r="E30" s="20"/>
      <c r="F30" s="20"/>
      <c r="G30" s="20"/>
      <c r="H30" s="20"/>
      <c r="I30" s="20"/>
      <c r="J30" s="20"/>
    </row>
    <row r="36" spans="1:5" ht="79.5" thickBot="1">
      <c r="A36" s="51" t="s">
        <v>5</v>
      </c>
      <c r="B36" s="52" t="s">
        <v>70</v>
      </c>
      <c r="C36" s="52" t="s">
        <v>7</v>
      </c>
      <c r="D36" s="52" t="s">
        <v>71</v>
      </c>
      <c r="E36" s="52" t="s">
        <v>7</v>
      </c>
    </row>
    <row r="37" spans="1:5" ht="19.5">
      <c r="A37" s="53" t="s">
        <v>72</v>
      </c>
      <c r="B37" s="54">
        <v>1514.11</v>
      </c>
      <c r="C37" s="53" t="s">
        <v>11</v>
      </c>
      <c r="D37" s="54">
        <v>1552.84</v>
      </c>
      <c r="E37" s="53" t="s">
        <v>11</v>
      </c>
    </row>
    <row r="38" spans="1:5" ht="19.5">
      <c r="A38" s="55" t="s">
        <v>73</v>
      </c>
      <c r="B38" s="56">
        <v>7.0288000000000004</v>
      </c>
      <c r="C38" s="55" t="s">
        <v>11</v>
      </c>
      <c r="D38" s="56">
        <v>6.4653</v>
      </c>
      <c r="E38" s="55" t="s">
        <v>11</v>
      </c>
    </row>
    <row r="39" spans="1:5" ht="19.5">
      <c r="A39" s="55" t="s">
        <v>74</v>
      </c>
      <c r="B39" s="56">
        <v>1.8164</v>
      </c>
      <c r="C39" s="55" t="s">
        <v>11</v>
      </c>
      <c r="D39" s="56">
        <v>1.7922</v>
      </c>
      <c r="E39" s="55" t="s">
        <v>11</v>
      </c>
    </row>
    <row r="40" spans="1:5" ht="49.5">
      <c r="A40" s="55" t="s">
        <v>75</v>
      </c>
      <c r="B40" s="56">
        <v>1.8113999999999999</v>
      </c>
      <c r="C40" s="55" t="s">
        <v>11</v>
      </c>
      <c r="D40" s="56">
        <v>1.8661000000000001</v>
      </c>
      <c r="E40" s="55" t="s">
        <v>11</v>
      </c>
    </row>
    <row r="41" spans="1:5" ht="19.5">
      <c r="A41" s="55" t="s">
        <v>76</v>
      </c>
      <c r="B41" s="56">
        <v>2.1899999999999999E-2</v>
      </c>
      <c r="C41" s="55" t="s">
        <v>14</v>
      </c>
      <c r="D41" s="56">
        <v>3.0099999999999998E-2</v>
      </c>
      <c r="E41" s="55" t="s">
        <v>14</v>
      </c>
    </row>
    <row r="42" spans="1:5" ht="19.5">
      <c r="A42" s="53" t="s">
        <v>77</v>
      </c>
      <c r="B42" s="57">
        <v>45.3</v>
      </c>
      <c r="C42" s="53" t="s">
        <v>14</v>
      </c>
      <c r="D42" s="57">
        <v>53.47</v>
      </c>
      <c r="E42" s="53" t="s">
        <v>14</v>
      </c>
    </row>
    <row r="43" spans="1:5" ht="20.25" thickBot="1">
      <c r="A43" s="58" t="s">
        <v>78</v>
      </c>
      <c r="B43" s="59">
        <v>18.41</v>
      </c>
      <c r="C43" s="58" t="s">
        <v>14</v>
      </c>
      <c r="D43" s="59">
        <v>24.11</v>
      </c>
      <c r="E43" s="58" t="s">
        <v>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3"/>
  <dimension ref="A1:J43"/>
  <sheetViews>
    <sheetView topLeftCell="A2" workbookViewId="0">
      <selection activeCell="D26" sqref="D26"/>
    </sheetView>
  </sheetViews>
  <sheetFormatPr defaultRowHeight="15"/>
  <cols>
    <col min="1" max="1" width="21.42578125" style="20" customWidth="1"/>
    <col min="2" max="3" width="16.5703125" style="20" customWidth="1"/>
    <col min="4" max="4" width="24.85546875" style="20" customWidth="1"/>
    <col min="5" max="7" width="16.5703125" style="20" customWidth="1"/>
  </cols>
  <sheetData>
    <row r="1" spans="1:10" ht="15.75" thickBot="1">
      <c r="A1" s="19" t="s">
        <v>56</v>
      </c>
    </row>
    <row r="2" spans="1:10">
      <c r="A2" s="21" t="s">
        <v>0</v>
      </c>
      <c r="B2" s="22" t="s">
        <v>1</v>
      </c>
    </row>
    <row r="3" spans="1:10">
      <c r="A3" s="21" t="s">
        <v>2</v>
      </c>
      <c r="B3" s="23">
        <v>45194.8</v>
      </c>
    </row>
    <row r="4" spans="1:10">
      <c r="A4" s="21" t="s">
        <v>3</v>
      </c>
      <c r="B4" s="23">
        <v>179062972.30000001</v>
      </c>
    </row>
    <row r="5" spans="1:10" ht="15.75" thickBot="1">
      <c r="A5" s="24" t="s">
        <v>4</v>
      </c>
      <c r="B5" s="25">
        <v>1612292702.9000001</v>
      </c>
    </row>
    <row r="7" spans="1:10">
      <c r="A7" s="48" t="s">
        <v>45</v>
      </c>
    </row>
    <row r="8" spans="1:10" ht="26.25" thickBot="1">
      <c r="A8" s="2" t="s">
        <v>5</v>
      </c>
      <c r="B8" s="3" t="s">
        <v>6</v>
      </c>
      <c r="C8" s="2" t="s">
        <v>7</v>
      </c>
      <c r="D8" s="3" t="s">
        <v>8</v>
      </c>
      <c r="E8" s="2" t="s">
        <v>7</v>
      </c>
      <c r="F8" s="3" t="s">
        <v>9</v>
      </c>
      <c r="G8" s="2" t="s">
        <v>7</v>
      </c>
    </row>
    <row r="9" spans="1:10">
      <c r="A9" s="40" t="s">
        <v>18</v>
      </c>
      <c r="B9" s="41">
        <v>163112468.69999999</v>
      </c>
      <c r="C9" s="40" t="s">
        <v>10</v>
      </c>
      <c r="D9" s="41">
        <v>1821.84</v>
      </c>
      <c r="E9" s="40" t="s">
        <v>11</v>
      </c>
      <c r="F9" s="42">
        <v>202.34</v>
      </c>
      <c r="G9" s="40" t="s">
        <v>12</v>
      </c>
      <c r="J9" s="49"/>
    </row>
    <row r="10" spans="1:10">
      <c r="A10" s="21" t="s">
        <v>19</v>
      </c>
      <c r="B10" s="23">
        <v>505639.95</v>
      </c>
      <c r="C10" s="21" t="s">
        <v>10</v>
      </c>
      <c r="D10" s="22">
        <v>5.6475999999999997</v>
      </c>
      <c r="E10" s="21" t="s">
        <v>11</v>
      </c>
      <c r="F10" s="22">
        <v>0.62719999999999998</v>
      </c>
      <c r="G10" s="21" t="s">
        <v>12</v>
      </c>
    </row>
    <row r="11" spans="1:10">
      <c r="A11" s="21" t="s">
        <v>20</v>
      </c>
      <c r="B11" s="23">
        <v>332498.52</v>
      </c>
      <c r="C11" s="21" t="s">
        <v>10</v>
      </c>
      <c r="D11" s="22">
        <v>3.7138</v>
      </c>
      <c r="E11" s="21" t="s">
        <v>11</v>
      </c>
      <c r="F11" s="22">
        <v>0.41249999999999998</v>
      </c>
      <c r="G11" s="21" t="s">
        <v>12</v>
      </c>
    </row>
    <row r="12" spans="1:10">
      <c r="A12" s="21" t="s">
        <v>21</v>
      </c>
      <c r="B12" s="23">
        <v>137506.5</v>
      </c>
      <c r="C12" s="21" t="s">
        <v>10</v>
      </c>
      <c r="D12" s="22">
        <v>3.5583999999999998</v>
      </c>
      <c r="E12" s="21" t="s">
        <v>11</v>
      </c>
      <c r="F12" s="22">
        <v>0.39369999999999999</v>
      </c>
      <c r="G12" s="21" t="s">
        <v>12</v>
      </c>
    </row>
    <row r="13" spans="1:10">
      <c r="A13" s="21" t="s">
        <v>22</v>
      </c>
      <c r="B13" s="23">
        <v>7346.76</v>
      </c>
      <c r="C13" s="21" t="s">
        <v>13</v>
      </c>
      <c r="D13" s="22">
        <v>4.1000000000000002E-2</v>
      </c>
      <c r="E13" s="21" t="s">
        <v>14</v>
      </c>
      <c r="F13" s="22">
        <v>4.5999999999999999E-3</v>
      </c>
      <c r="G13" s="21" t="s">
        <v>15</v>
      </c>
    </row>
    <row r="14" spans="1:10">
      <c r="A14" s="40" t="s">
        <v>23</v>
      </c>
      <c r="B14" s="41">
        <v>5013704.4000000004</v>
      </c>
      <c r="C14" s="40" t="s">
        <v>13</v>
      </c>
      <c r="D14" s="42">
        <v>28</v>
      </c>
      <c r="E14" s="40" t="s">
        <v>14</v>
      </c>
      <c r="F14" s="42" t="s">
        <v>16</v>
      </c>
      <c r="G14" s="42"/>
    </row>
    <row r="15" spans="1:10" ht="15.75" thickBot="1">
      <c r="A15" s="43" t="s">
        <v>24</v>
      </c>
      <c r="B15" s="44">
        <v>5498211.7999999998</v>
      </c>
      <c r="C15" s="43" t="s">
        <v>13</v>
      </c>
      <c r="D15" s="45">
        <v>30.71</v>
      </c>
      <c r="E15" s="43" t="s">
        <v>14</v>
      </c>
      <c r="F15" s="45" t="s">
        <v>16</v>
      </c>
      <c r="G15" s="46"/>
    </row>
    <row r="18" spans="1:7">
      <c r="A18" s="47" t="s">
        <v>44</v>
      </c>
    </row>
    <row r="19" spans="1:7" ht="15.75" thickBot="1">
      <c r="A19" s="2" t="s">
        <v>29</v>
      </c>
      <c r="B19" s="3" t="s">
        <v>30</v>
      </c>
      <c r="C19" s="3" t="s">
        <v>31</v>
      </c>
      <c r="D19" s="2" t="s">
        <v>36</v>
      </c>
      <c r="E19" s="3" t="s">
        <v>30</v>
      </c>
      <c r="F19" s="3" t="s">
        <v>31</v>
      </c>
    </row>
    <row r="20" spans="1:7">
      <c r="A20" s="21" t="s">
        <v>25</v>
      </c>
      <c r="B20" s="22">
        <v>73.515299999999996</v>
      </c>
      <c r="C20" s="23">
        <v>131638707.7</v>
      </c>
      <c r="D20" s="21" t="s">
        <v>37</v>
      </c>
      <c r="E20" s="22">
        <v>2.0689000000000002</v>
      </c>
      <c r="F20" s="23">
        <v>3704665.4</v>
      </c>
    </row>
    <row r="21" spans="1:7">
      <c r="A21" s="21" t="s">
        <v>26</v>
      </c>
      <c r="B21" s="22">
        <v>0.59619999999999995</v>
      </c>
      <c r="C21" s="23">
        <v>1067662.6000000001</v>
      </c>
      <c r="D21" s="21" t="s">
        <v>38</v>
      </c>
      <c r="E21" s="22">
        <v>0</v>
      </c>
      <c r="F21" s="22">
        <v>0</v>
      </c>
    </row>
    <row r="22" spans="1:7">
      <c r="A22" s="21" t="s">
        <v>27</v>
      </c>
      <c r="B22" s="22">
        <v>4.0373999999999999</v>
      </c>
      <c r="C22" s="23">
        <v>7229526.2999999998</v>
      </c>
      <c r="D22" s="21" t="s">
        <v>39</v>
      </c>
      <c r="E22" s="22">
        <v>0</v>
      </c>
      <c r="F22" s="22">
        <v>0</v>
      </c>
    </row>
    <row r="23" spans="1:7">
      <c r="A23" s="21" t="s">
        <v>32</v>
      </c>
      <c r="B23" s="22">
        <v>0.22090000000000001</v>
      </c>
      <c r="C23" s="23">
        <v>395605.7</v>
      </c>
      <c r="D23" s="21" t="s">
        <v>40</v>
      </c>
      <c r="E23" s="22">
        <v>0.7641</v>
      </c>
      <c r="F23" s="23">
        <v>1368273.7</v>
      </c>
    </row>
    <row r="24" spans="1:7">
      <c r="A24" s="21" t="s">
        <v>33</v>
      </c>
      <c r="B24" s="22">
        <v>14.618</v>
      </c>
      <c r="C24" s="23">
        <v>26175373</v>
      </c>
      <c r="D24" s="21" t="s">
        <v>41</v>
      </c>
      <c r="E24" s="22">
        <v>4.1534000000000004</v>
      </c>
      <c r="F24" s="23">
        <v>7437199.2999999998</v>
      </c>
    </row>
    <row r="25" spans="1:7" ht="26.25" thickBot="1">
      <c r="A25" s="21" t="s">
        <v>34</v>
      </c>
      <c r="B25" s="22">
        <v>2.5700000000000001E-2</v>
      </c>
      <c r="C25" s="23">
        <v>45958.6</v>
      </c>
      <c r="D25" s="22"/>
      <c r="E25" s="22"/>
      <c r="F25" s="22"/>
    </row>
    <row r="26" spans="1:7">
      <c r="A26" s="35" t="s">
        <v>35</v>
      </c>
      <c r="B26" s="36">
        <v>93.013599999999997</v>
      </c>
      <c r="C26" s="37">
        <v>166552833.90000001</v>
      </c>
      <c r="D26" s="35" t="s">
        <v>42</v>
      </c>
      <c r="E26" s="36">
        <v>6.9863999999999997</v>
      </c>
      <c r="F26" s="37">
        <v>12510138.4</v>
      </c>
    </row>
    <row r="27" spans="1:7" ht="15.75" thickBot="1">
      <c r="A27" s="39"/>
      <c r="B27" s="39"/>
      <c r="C27" s="39"/>
      <c r="D27" s="24" t="s">
        <v>43</v>
      </c>
      <c r="E27" s="39">
        <v>2.8330000000000002</v>
      </c>
      <c r="F27" s="25">
        <v>5072939.0999999996</v>
      </c>
    </row>
    <row r="29" spans="1:7" ht="15.75" thickBot="1">
      <c r="B29" s="3"/>
      <c r="C29" s="3" t="s">
        <v>30</v>
      </c>
      <c r="D29" s="3" t="s">
        <v>31</v>
      </c>
    </row>
    <row r="30" spans="1:7">
      <c r="B30" s="21" t="s">
        <v>46</v>
      </c>
      <c r="C30" s="22">
        <v>79.159700000000001</v>
      </c>
      <c r="D30" s="23">
        <v>141745734.59999999</v>
      </c>
    </row>
    <row r="31" spans="1:7" ht="26.25" thickBot="1">
      <c r="B31" s="24" t="s">
        <v>47</v>
      </c>
      <c r="C31" s="39">
        <v>20.840299999999999</v>
      </c>
      <c r="D31" s="25">
        <v>37317237.700000003</v>
      </c>
    </row>
    <row r="32" spans="1:7" s="70" customFormat="1">
      <c r="A32" s="69"/>
      <c r="B32" s="69"/>
      <c r="C32" s="69"/>
      <c r="D32" s="69"/>
      <c r="E32" s="69"/>
      <c r="F32" s="69"/>
      <c r="G32" s="69"/>
    </row>
    <row r="33" spans="1:7" s="70" customFormat="1" ht="63" customHeight="1" thickBot="1">
      <c r="A33" s="71"/>
      <c r="B33" s="71"/>
      <c r="C33" s="71"/>
      <c r="D33" s="71"/>
      <c r="E33" s="71"/>
      <c r="F33" s="69"/>
      <c r="G33" s="69"/>
    </row>
    <row r="34" spans="1:7" s="70" customFormat="1" ht="15.75">
      <c r="A34" s="72"/>
      <c r="B34" s="73"/>
      <c r="C34" s="72"/>
      <c r="D34" s="73"/>
      <c r="E34" s="72"/>
      <c r="F34" s="69"/>
      <c r="G34" s="69"/>
    </row>
    <row r="35" spans="1:7" s="70" customFormat="1" ht="15.75">
      <c r="A35" s="72"/>
      <c r="B35" s="74"/>
      <c r="C35" s="72"/>
      <c r="D35" s="74"/>
      <c r="E35" s="72"/>
      <c r="F35" s="69"/>
      <c r="G35" s="69"/>
    </row>
    <row r="36" spans="1:7" ht="39" thickBot="1">
      <c r="A36" s="171" t="s">
        <v>5</v>
      </c>
      <c r="B36" s="171" t="s">
        <v>70</v>
      </c>
      <c r="C36" s="171" t="s">
        <v>7</v>
      </c>
      <c r="D36" s="171" t="s">
        <v>71</v>
      </c>
      <c r="E36" s="171" t="s">
        <v>7</v>
      </c>
    </row>
    <row r="37" spans="1:7">
      <c r="A37" s="4" t="s">
        <v>152</v>
      </c>
      <c r="B37" s="5">
        <v>1828.63</v>
      </c>
      <c r="C37" s="4" t="s">
        <v>11</v>
      </c>
      <c r="D37" s="5">
        <v>2130.4699999999998</v>
      </c>
      <c r="E37" s="4" t="s">
        <v>11</v>
      </c>
    </row>
    <row r="38" spans="1:7">
      <c r="A38" s="7" t="s">
        <v>153</v>
      </c>
      <c r="B38" s="9">
        <v>6.782</v>
      </c>
      <c r="C38" s="7" t="s">
        <v>11</v>
      </c>
      <c r="D38" s="9">
        <v>8.3215000000000003</v>
      </c>
      <c r="E38" s="7" t="s">
        <v>11</v>
      </c>
    </row>
    <row r="39" spans="1:7">
      <c r="A39" s="7" t="s">
        <v>154</v>
      </c>
      <c r="B39" s="9">
        <v>2.9043000000000001</v>
      </c>
      <c r="C39" s="7" t="s">
        <v>11</v>
      </c>
      <c r="D39" s="9">
        <v>3.1901000000000002</v>
      </c>
      <c r="E39" s="7" t="s">
        <v>11</v>
      </c>
    </row>
    <row r="40" spans="1:7">
      <c r="A40" s="7" t="s">
        <v>155</v>
      </c>
      <c r="B40" s="9">
        <v>2.7339000000000002</v>
      </c>
      <c r="C40" s="7" t="s">
        <v>11</v>
      </c>
      <c r="D40" s="9">
        <v>2.9630999999999998</v>
      </c>
      <c r="E40" s="7" t="s">
        <v>11</v>
      </c>
    </row>
    <row r="41" spans="1:7">
      <c r="A41" s="7" t="s">
        <v>156</v>
      </c>
      <c r="B41" s="9">
        <v>1.8200000000000001E-2</v>
      </c>
      <c r="C41" s="7" t="s">
        <v>14</v>
      </c>
      <c r="D41" s="9">
        <v>3.1800000000000002E-2</v>
      </c>
      <c r="E41" s="7" t="s">
        <v>14</v>
      </c>
    </row>
    <row r="42" spans="1:7">
      <c r="A42" s="4" t="s">
        <v>157</v>
      </c>
      <c r="B42" s="6">
        <v>28.82</v>
      </c>
      <c r="C42" s="4" t="s">
        <v>14</v>
      </c>
      <c r="D42" s="6">
        <v>32.04</v>
      </c>
      <c r="E42" s="4" t="s">
        <v>14</v>
      </c>
    </row>
    <row r="43" spans="1:7" ht="15.75" thickBot="1">
      <c r="A43" s="10" t="s">
        <v>158</v>
      </c>
      <c r="B43" s="12">
        <v>25.2</v>
      </c>
      <c r="C43" s="10" t="s">
        <v>14</v>
      </c>
      <c r="D43" s="12">
        <v>38.79</v>
      </c>
      <c r="E43" s="10" t="s">
        <v>14</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sheetPr codeName="Sheet1"/>
  <dimension ref="A1:K43"/>
  <sheetViews>
    <sheetView topLeftCell="A7" workbookViewId="0">
      <selection activeCell="D28" sqref="D28"/>
    </sheetView>
  </sheetViews>
  <sheetFormatPr defaultRowHeight="15"/>
  <cols>
    <col min="1" max="1" width="20" customWidth="1"/>
    <col min="2" max="2" width="22.140625" customWidth="1"/>
    <col min="3" max="3" width="15.85546875" customWidth="1"/>
    <col min="4" max="4" width="16.42578125" customWidth="1"/>
    <col min="11" max="11" width="12.42578125" customWidth="1"/>
  </cols>
  <sheetData>
    <row r="1" spans="1:11" ht="15.75" thickBot="1">
      <c r="A1" s="161" t="s">
        <v>144</v>
      </c>
      <c r="B1" s="162"/>
      <c r="C1" s="162"/>
      <c r="D1" s="162"/>
      <c r="E1" s="162"/>
      <c r="F1" s="162"/>
      <c r="G1" s="162"/>
    </row>
    <row r="2" spans="1:11">
      <c r="A2" s="163" t="s">
        <v>0</v>
      </c>
      <c r="B2" s="164" t="s">
        <v>28</v>
      </c>
      <c r="C2" s="162"/>
      <c r="D2" s="162"/>
      <c r="E2" s="162"/>
      <c r="F2" s="162"/>
      <c r="G2" s="162"/>
    </row>
    <row r="3" spans="1:11">
      <c r="A3" s="163" t="s">
        <v>2</v>
      </c>
      <c r="B3" s="165">
        <v>75355.3</v>
      </c>
      <c r="C3" s="162"/>
      <c r="D3" s="162"/>
      <c r="E3" s="162"/>
      <c r="F3" s="162"/>
      <c r="G3" s="162"/>
    </row>
    <row r="4" spans="1:11" ht="25.5">
      <c r="A4" s="163" t="s">
        <v>3</v>
      </c>
      <c r="B4" s="165">
        <v>282979629.80000001</v>
      </c>
      <c r="C4" s="162"/>
      <c r="D4" s="162"/>
      <c r="E4" s="162"/>
      <c r="F4" s="162"/>
      <c r="G4" s="162"/>
    </row>
    <row r="5" spans="1:11" ht="15.75" thickBot="1">
      <c r="A5" s="166" t="s">
        <v>4</v>
      </c>
      <c r="B5" s="167">
        <v>1701864630.8</v>
      </c>
      <c r="C5" s="162"/>
      <c r="D5" s="162"/>
      <c r="E5" s="162"/>
      <c r="F5" s="162"/>
      <c r="G5" s="162"/>
    </row>
    <row r="6" spans="1:11" ht="15.75" thickBot="1">
      <c r="A6" s="168"/>
      <c r="B6" s="162"/>
      <c r="C6" s="162"/>
      <c r="D6" s="162"/>
      <c r="E6" s="162"/>
      <c r="F6" s="162"/>
      <c r="G6" s="162"/>
    </row>
    <row r="7" spans="1:11">
      <c r="A7" s="169"/>
      <c r="B7" s="169"/>
      <c r="C7" s="162"/>
      <c r="D7" s="162"/>
      <c r="E7" s="162"/>
      <c r="F7" s="162"/>
      <c r="G7" s="162"/>
    </row>
    <row r="8" spans="1:11" ht="39" thickBot="1">
      <c r="A8" s="2" t="s">
        <v>5</v>
      </c>
      <c r="B8" s="3" t="s">
        <v>6</v>
      </c>
      <c r="C8" s="2" t="s">
        <v>7</v>
      </c>
      <c r="D8" s="3" t="s">
        <v>8</v>
      </c>
      <c r="E8" s="2" t="s">
        <v>7</v>
      </c>
      <c r="F8" s="3" t="s">
        <v>9</v>
      </c>
      <c r="G8" s="2" t="s">
        <v>7</v>
      </c>
    </row>
    <row r="9" spans="1:11">
      <c r="A9" s="4" t="s">
        <v>145</v>
      </c>
      <c r="B9" s="5">
        <v>161167452</v>
      </c>
      <c r="C9" s="4" t="s">
        <v>10</v>
      </c>
      <c r="D9" s="5">
        <v>1139.07</v>
      </c>
      <c r="E9" s="4" t="s">
        <v>11</v>
      </c>
      <c r="F9" s="6">
        <v>189.4</v>
      </c>
      <c r="G9" s="4" t="s">
        <v>12</v>
      </c>
    </row>
    <row r="10" spans="1:11">
      <c r="A10" s="7" t="s">
        <v>146</v>
      </c>
      <c r="B10" s="8">
        <v>1102458.7</v>
      </c>
      <c r="C10" s="7" t="s">
        <v>10</v>
      </c>
      <c r="D10" s="9">
        <v>7.7918000000000003</v>
      </c>
      <c r="E10" s="7" t="s">
        <v>11</v>
      </c>
      <c r="F10" s="9">
        <v>1.2956000000000001</v>
      </c>
      <c r="G10" s="7" t="s">
        <v>12</v>
      </c>
    </row>
    <row r="11" spans="1:11">
      <c r="A11" s="7" t="s">
        <v>147</v>
      </c>
      <c r="B11" s="8">
        <v>230729.1</v>
      </c>
      <c r="C11" s="7" t="s">
        <v>10</v>
      </c>
      <c r="D11" s="9">
        <v>1.6307</v>
      </c>
      <c r="E11" s="7" t="s">
        <v>11</v>
      </c>
      <c r="F11" s="9">
        <v>0.27110000000000001</v>
      </c>
      <c r="G11" s="7" t="s">
        <v>12</v>
      </c>
    </row>
    <row r="12" spans="1:11">
      <c r="A12" s="7" t="s">
        <v>148</v>
      </c>
      <c r="B12" s="8">
        <v>73736.56</v>
      </c>
      <c r="C12" s="7" t="s">
        <v>10</v>
      </c>
      <c r="D12" s="9">
        <v>1.1707000000000001</v>
      </c>
      <c r="E12" s="7" t="s">
        <v>11</v>
      </c>
      <c r="F12" s="9">
        <v>0.1847</v>
      </c>
      <c r="G12" s="7" t="s">
        <v>12</v>
      </c>
    </row>
    <row r="13" spans="1:11">
      <c r="A13" s="7" t="s">
        <v>149</v>
      </c>
      <c r="B13" s="8">
        <v>10939.42</v>
      </c>
      <c r="C13" s="7" t="s">
        <v>13</v>
      </c>
      <c r="D13" s="9">
        <v>3.8699999999999998E-2</v>
      </c>
      <c r="E13" s="7" t="s">
        <v>14</v>
      </c>
      <c r="F13" s="9">
        <v>6.4000000000000003E-3</v>
      </c>
      <c r="G13" s="7" t="s">
        <v>15</v>
      </c>
    </row>
    <row r="14" spans="1:11">
      <c r="A14" s="4" t="s">
        <v>150</v>
      </c>
      <c r="B14" s="5">
        <v>8566391.6999999993</v>
      </c>
      <c r="C14" s="4" t="s">
        <v>13</v>
      </c>
      <c r="D14" s="6">
        <v>30.27</v>
      </c>
      <c r="E14" s="4" t="s">
        <v>14</v>
      </c>
      <c r="F14" s="6" t="s">
        <v>16</v>
      </c>
      <c r="G14" s="6"/>
    </row>
    <row r="15" spans="1:11" ht="15.75" thickBot="1">
      <c r="A15" s="10" t="s">
        <v>151</v>
      </c>
      <c r="B15" s="11">
        <v>5295851.8</v>
      </c>
      <c r="C15" s="10" t="s">
        <v>13</v>
      </c>
      <c r="D15" s="12">
        <v>18.71</v>
      </c>
      <c r="E15" s="10" t="s">
        <v>14</v>
      </c>
      <c r="F15" s="12" t="s">
        <v>16</v>
      </c>
      <c r="G15" s="170"/>
    </row>
    <row r="16" spans="1:11" ht="15.75" thickBot="1">
      <c r="A16" s="168"/>
      <c r="B16" s="162"/>
      <c r="C16" s="162"/>
      <c r="D16" s="162"/>
      <c r="E16" s="162"/>
      <c r="F16" s="162"/>
      <c r="G16" s="162"/>
      <c r="H16" s="162"/>
      <c r="I16" s="162"/>
      <c r="J16" s="162"/>
      <c r="K16" s="162"/>
    </row>
    <row r="17" spans="1:11">
      <c r="A17" s="169"/>
      <c r="B17" s="169"/>
      <c r="C17" s="162"/>
      <c r="D17" s="162"/>
      <c r="E17" s="162"/>
      <c r="F17" s="162"/>
      <c r="G17" s="162"/>
      <c r="H17" s="162"/>
      <c r="I17" s="162"/>
      <c r="J17" s="162"/>
      <c r="K17" s="162"/>
    </row>
    <row r="18" spans="1:11" ht="15.75" thickBot="1">
      <c r="A18" s="3"/>
      <c r="B18" s="327" t="s">
        <v>141</v>
      </c>
      <c r="C18" s="327"/>
      <c r="D18" s="327"/>
      <c r="E18" s="327"/>
      <c r="F18" s="3"/>
      <c r="G18" s="327" t="s">
        <v>142</v>
      </c>
      <c r="H18" s="327"/>
      <c r="I18" s="327"/>
      <c r="J18" s="327"/>
      <c r="K18" s="3"/>
    </row>
    <row r="19" spans="1:11" ht="15.75" thickBot="1">
      <c r="A19" s="2" t="s">
        <v>5</v>
      </c>
      <c r="B19" s="3" t="s">
        <v>143</v>
      </c>
      <c r="C19" s="3" t="s">
        <v>25</v>
      </c>
      <c r="D19" s="3" t="s">
        <v>26</v>
      </c>
      <c r="E19" s="3" t="s">
        <v>27</v>
      </c>
      <c r="F19" s="2" t="s">
        <v>7</v>
      </c>
      <c r="G19" s="3" t="s">
        <v>143</v>
      </c>
      <c r="H19" s="3" t="s">
        <v>25</v>
      </c>
      <c r="I19" s="3" t="s">
        <v>26</v>
      </c>
      <c r="J19" s="3" t="s">
        <v>27</v>
      </c>
      <c r="K19" s="2" t="s">
        <v>7</v>
      </c>
    </row>
    <row r="20" spans="1:11">
      <c r="A20" s="4" t="s">
        <v>145</v>
      </c>
      <c r="B20" s="5">
        <v>1673.19</v>
      </c>
      <c r="C20" s="5">
        <v>2050.79</v>
      </c>
      <c r="D20" s="6">
        <v>444.56</v>
      </c>
      <c r="E20" s="6">
        <v>838.46</v>
      </c>
      <c r="F20" s="4" t="s">
        <v>11</v>
      </c>
      <c r="G20" s="6">
        <v>190.58</v>
      </c>
      <c r="H20" s="6">
        <v>202.79</v>
      </c>
      <c r="I20" s="6">
        <v>159</v>
      </c>
      <c r="J20" s="6">
        <v>119.65</v>
      </c>
      <c r="K20" s="4" t="s">
        <v>12</v>
      </c>
    </row>
    <row r="21" spans="1:11">
      <c r="A21" s="7" t="s">
        <v>146</v>
      </c>
      <c r="B21" s="9">
        <v>11.870200000000001</v>
      </c>
      <c r="C21" s="9">
        <v>16.053100000000001</v>
      </c>
      <c r="D21" s="9">
        <v>1.9413</v>
      </c>
      <c r="E21" s="9">
        <v>2.0199999999999999E-2</v>
      </c>
      <c r="F21" s="7" t="s">
        <v>11</v>
      </c>
      <c r="G21" s="9">
        <v>1.3520000000000001</v>
      </c>
      <c r="H21" s="9">
        <v>1.5873999999999999</v>
      </c>
      <c r="I21" s="9">
        <v>0.69430000000000003</v>
      </c>
      <c r="J21" s="9">
        <v>2.8999999999999998E-3</v>
      </c>
      <c r="K21" s="7" t="s">
        <v>12</v>
      </c>
    </row>
    <row r="22" spans="1:11">
      <c r="A22" s="7" t="s">
        <v>147</v>
      </c>
      <c r="B22" s="9">
        <v>2.4110999999999998</v>
      </c>
      <c r="C22" s="9">
        <v>3.0876000000000001</v>
      </c>
      <c r="D22" s="9">
        <v>0.80549999999999999</v>
      </c>
      <c r="E22" s="9">
        <v>0.3639</v>
      </c>
      <c r="F22" s="7" t="s">
        <v>11</v>
      </c>
      <c r="G22" s="9">
        <v>0.27460000000000001</v>
      </c>
      <c r="H22" s="9">
        <v>0.30530000000000002</v>
      </c>
      <c r="I22" s="9">
        <v>0.28810000000000002</v>
      </c>
      <c r="J22" s="9">
        <v>5.1900000000000002E-2</v>
      </c>
      <c r="K22" s="7" t="s">
        <v>12</v>
      </c>
    </row>
    <row r="23" spans="1:11">
      <c r="A23" s="7" t="s">
        <v>148</v>
      </c>
      <c r="B23" s="9">
        <v>1.6347</v>
      </c>
      <c r="C23" s="9">
        <v>2.0956000000000001</v>
      </c>
      <c r="D23" s="9">
        <v>0.86240000000000006</v>
      </c>
      <c r="E23" s="9">
        <v>0.34510000000000002</v>
      </c>
      <c r="F23" s="7" t="s">
        <v>11</v>
      </c>
      <c r="G23" s="9">
        <v>0.1845</v>
      </c>
      <c r="H23" s="9">
        <v>0.20530000000000001</v>
      </c>
      <c r="I23" s="9">
        <v>0.26600000000000001</v>
      </c>
      <c r="J23" s="9">
        <v>4.7300000000000002E-2</v>
      </c>
      <c r="K23" s="7" t="s">
        <v>12</v>
      </c>
    </row>
    <row r="24" spans="1:11">
      <c r="A24" s="7" t="s">
        <v>149</v>
      </c>
      <c r="B24" s="9">
        <v>5.2699999999999997E-2</v>
      </c>
      <c r="C24" s="9">
        <v>7.2599999999999998E-2</v>
      </c>
      <c r="D24" s="9" t="s">
        <v>16</v>
      </c>
      <c r="E24" s="9" t="s">
        <v>16</v>
      </c>
      <c r="F24" s="7" t="s">
        <v>14</v>
      </c>
      <c r="G24" s="9">
        <v>6.0000000000000001E-3</v>
      </c>
      <c r="H24" s="9">
        <v>7.1999999999999998E-3</v>
      </c>
      <c r="I24" s="9" t="s">
        <v>16</v>
      </c>
      <c r="J24" s="9" t="s">
        <v>16</v>
      </c>
      <c r="K24" s="7" t="s">
        <v>15</v>
      </c>
    </row>
    <row r="25" spans="1:11">
      <c r="A25" s="4" t="s">
        <v>150</v>
      </c>
      <c r="B25" s="6" t="s">
        <v>16</v>
      </c>
      <c r="C25" s="6" t="s">
        <v>16</v>
      </c>
      <c r="D25" s="6" t="s">
        <v>16</v>
      </c>
      <c r="E25" s="6" t="s">
        <v>16</v>
      </c>
      <c r="F25" s="6"/>
      <c r="G25" s="6" t="s">
        <v>16</v>
      </c>
      <c r="H25" s="6" t="s">
        <v>16</v>
      </c>
      <c r="I25" s="6" t="s">
        <v>16</v>
      </c>
      <c r="J25" s="6" t="s">
        <v>16</v>
      </c>
      <c r="K25" s="6"/>
    </row>
    <row r="26" spans="1:11" ht="15.75" thickBot="1">
      <c r="A26" s="10" t="s">
        <v>151</v>
      </c>
      <c r="B26" s="12" t="s">
        <v>16</v>
      </c>
      <c r="C26" s="12" t="s">
        <v>16</v>
      </c>
      <c r="D26" s="12" t="s">
        <v>16</v>
      </c>
      <c r="E26" s="12" t="s">
        <v>16</v>
      </c>
      <c r="F26" s="12"/>
      <c r="G26" s="12" t="s">
        <v>16</v>
      </c>
      <c r="H26" s="12" t="s">
        <v>16</v>
      </c>
      <c r="I26" s="12" t="s">
        <v>16</v>
      </c>
      <c r="J26" s="12" t="s">
        <v>16</v>
      </c>
      <c r="K26" s="12"/>
    </row>
    <row r="27" spans="1:11" ht="39" thickBot="1">
      <c r="A27" s="2" t="s">
        <v>5</v>
      </c>
      <c r="B27" s="3" t="s">
        <v>70</v>
      </c>
      <c r="C27" s="3" t="s">
        <v>7</v>
      </c>
      <c r="D27" s="3" t="s">
        <v>71</v>
      </c>
      <c r="E27" s="3" t="s">
        <v>7</v>
      </c>
      <c r="F27" s="162"/>
      <c r="G27" s="162"/>
      <c r="H27" s="162"/>
      <c r="I27" s="162"/>
      <c r="J27" s="162"/>
      <c r="K27" s="162"/>
    </row>
    <row r="28" spans="1:11">
      <c r="A28" s="4" t="s">
        <v>145</v>
      </c>
      <c r="B28" s="5">
        <v>1790.5</v>
      </c>
      <c r="C28" s="4" t="s">
        <v>11</v>
      </c>
      <c r="D28" s="5">
        <v>1876.76</v>
      </c>
      <c r="E28" s="4" t="s">
        <v>11</v>
      </c>
      <c r="F28" s="162"/>
      <c r="G28" s="162"/>
      <c r="H28" s="162"/>
      <c r="I28" s="162"/>
      <c r="J28" s="162"/>
      <c r="K28" s="162"/>
    </row>
    <row r="29" spans="1:11">
      <c r="A29" s="7" t="s">
        <v>146</v>
      </c>
      <c r="B29" s="9">
        <v>10.525600000000001</v>
      </c>
      <c r="C29" s="7" t="s">
        <v>11</v>
      </c>
      <c r="D29" s="9">
        <v>12.837899999999999</v>
      </c>
      <c r="E29" s="7" t="s">
        <v>11</v>
      </c>
      <c r="F29" s="162"/>
      <c r="G29" s="162"/>
      <c r="H29" s="162"/>
      <c r="I29" s="162"/>
      <c r="J29" s="162"/>
      <c r="K29" s="162"/>
    </row>
    <row r="30" spans="1:11">
      <c r="A30" s="7" t="s">
        <v>147</v>
      </c>
      <c r="B30" s="9">
        <v>2.7681</v>
      </c>
      <c r="C30" s="7" t="s">
        <v>11</v>
      </c>
      <c r="D30" s="9">
        <v>2.6867999999999999</v>
      </c>
      <c r="E30" s="7" t="s">
        <v>11</v>
      </c>
      <c r="F30" s="162"/>
      <c r="G30" s="162"/>
      <c r="H30" s="162"/>
      <c r="I30" s="162"/>
      <c r="J30" s="162"/>
      <c r="K30" s="162"/>
    </row>
    <row r="31" spans="1:11">
      <c r="A31" s="7" t="s">
        <v>148</v>
      </c>
      <c r="B31" s="9">
        <v>2.2945000000000002</v>
      </c>
      <c r="C31" s="7" t="s">
        <v>11</v>
      </c>
      <c r="D31" s="9">
        <v>1.9289000000000001</v>
      </c>
      <c r="E31" s="7" t="s">
        <v>11</v>
      </c>
      <c r="F31" s="162"/>
      <c r="G31" s="162"/>
      <c r="H31" s="162"/>
      <c r="I31" s="162"/>
      <c r="J31" s="162"/>
      <c r="K31" s="162"/>
    </row>
    <row r="32" spans="1:11">
      <c r="A32" s="7" t="s">
        <v>149</v>
      </c>
      <c r="B32" s="9">
        <v>4.24E-2</v>
      </c>
      <c r="C32" s="7" t="s">
        <v>14</v>
      </c>
      <c r="D32" s="9">
        <v>6.3700000000000007E-2</v>
      </c>
      <c r="E32" s="7" t="s">
        <v>14</v>
      </c>
      <c r="F32" s="162"/>
      <c r="G32" s="162"/>
      <c r="H32" s="162"/>
      <c r="I32" s="162"/>
      <c r="J32" s="162"/>
      <c r="K32" s="162"/>
    </row>
    <row r="33" spans="1:11">
      <c r="A33" s="4" t="s">
        <v>150</v>
      </c>
      <c r="B33" s="6">
        <v>41.61</v>
      </c>
      <c r="C33" s="4" t="s">
        <v>14</v>
      </c>
      <c r="D33" s="6">
        <v>49.88</v>
      </c>
      <c r="E33" s="4" t="s">
        <v>14</v>
      </c>
      <c r="F33" s="162"/>
      <c r="G33" s="162"/>
      <c r="H33" s="162"/>
      <c r="I33" s="162"/>
      <c r="J33" s="162"/>
      <c r="K33" s="162"/>
    </row>
    <row r="34" spans="1:11" ht="15.75" thickBot="1">
      <c r="A34" s="10" t="s">
        <v>151</v>
      </c>
      <c r="B34" s="12">
        <v>24.36</v>
      </c>
      <c r="C34" s="10" t="s">
        <v>14</v>
      </c>
      <c r="D34" s="12">
        <v>30.83</v>
      </c>
      <c r="E34" s="10" t="s">
        <v>14</v>
      </c>
      <c r="F34" s="162"/>
      <c r="G34" s="162"/>
      <c r="H34" s="162"/>
      <c r="I34" s="162"/>
      <c r="J34" s="162"/>
      <c r="K34" s="162"/>
    </row>
    <row r="35" spans="1:11" ht="15.75" thickBot="1">
      <c r="A35" s="10" t="s">
        <v>151</v>
      </c>
      <c r="B35" s="12" t="s">
        <v>16</v>
      </c>
      <c r="C35" s="12" t="s">
        <v>16</v>
      </c>
      <c r="D35" s="12" t="s">
        <v>16</v>
      </c>
      <c r="E35" s="12" t="s">
        <v>16</v>
      </c>
      <c r="F35" s="12"/>
      <c r="G35" s="12" t="s">
        <v>16</v>
      </c>
      <c r="H35" s="12" t="s">
        <v>16</v>
      </c>
      <c r="I35" s="12" t="s">
        <v>16</v>
      </c>
      <c r="J35" s="12" t="s">
        <v>16</v>
      </c>
      <c r="K35" s="12"/>
    </row>
    <row r="36" spans="1:11" ht="39" thickBot="1">
      <c r="A36" s="2" t="s">
        <v>5</v>
      </c>
      <c r="B36" s="3" t="s">
        <v>70</v>
      </c>
      <c r="C36" s="3" t="s">
        <v>7</v>
      </c>
      <c r="D36" s="3" t="s">
        <v>71</v>
      </c>
      <c r="E36" s="3" t="s">
        <v>7</v>
      </c>
      <c r="F36" s="162"/>
      <c r="G36" s="162"/>
      <c r="H36" s="162"/>
      <c r="I36" s="162"/>
    </row>
    <row r="37" spans="1:11">
      <c r="A37" s="4" t="s">
        <v>145</v>
      </c>
      <c r="B37" s="5">
        <v>1790.5</v>
      </c>
      <c r="C37" s="4" t="s">
        <v>11</v>
      </c>
      <c r="D37" s="5">
        <v>1876.76</v>
      </c>
      <c r="E37" s="4" t="s">
        <v>11</v>
      </c>
      <c r="F37" s="162"/>
      <c r="G37" s="162"/>
      <c r="H37" s="162"/>
      <c r="I37" s="162"/>
    </row>
    <row r="38" spans="1:11">
      <c r="A38" s="7" t="s">
        <v>146</v>
      </c>
      <c r="B38" s="9">
        <v>10.525600000000001</v>
      </c>
      <c r="C38" s="7" t="s">
        <v>11</v>
      </c>
      <c r="D38" s="9">
        <v>12.837899999999999</v>
      </c>
      <c r="E38" s="7" t="s">
        <v>11</v>
      </c>
      <c r="F38" s="162"/>
      <c r="G38" s="162"/>
      <c r="H38" s="162"/>
      <c r="I38" s="162"/>
    </row>
    <row r="39" spans="1:11">
      <c r="A39" s="7" t="s">
        <v>147</v>
      </c>
      <c r="B39" s="9">
        <v>2.7681</v>
      </c>
      <c r="C39" s="7" t="s">
        <v>11</v>
      </c>
      <c r="D39" s="9">
        <v>2.6867999999999999</v>
      </c>
      <c r="E39" s="7" t="s">
        <v>11</v>
      </c>
      <c r="F39" s="162"/>
      <c r="G39" s="162"/>
      <c r="H39" s="162"/>
      <c r="I39" s="162"/>
    </row>
    <row r="40" spans="1:11">
      <c r="A40" s="7" t="s">
        <v>148</v>
      </c>
      <c r="B40" s="9">
        <v>2.2945000000000002</v>
      </c>
      <c r="C40" s="7" t="s">
        <v>11</v>
      </c>
      <c r="D40" s="9">
        <v>1.9289000000000001</v>
      </c>
      <c r="E40" s="7" t="s">
        <v>11</v>
      </c>
      <c r="F40" s="162"/>
      <c r="G40" s="162"/>
      <c r="H40" s="162"/>
      <c r="I40" s="162"/>
    </row>
    <row r="41" spans="1:11">
      <c r="A41" s="7" t="s">
        <v>149</v>
      </c>
      <c r="B41" s="9">
        <v>4.24E-2</v>
      </c>
      <c r="C41" s="7" t="s">
        <v>14</v>
      </c>
      <c r="D41" s="9">
        <v>6.3700000000000007E-2</v>
      </c>
      <c r="E41" s="7" t="s">
        <v>14</v>
      </c>
      <c r="F41" s="162"/>
      <c r="G41" s="162"/>
      <c r="H41" s="162"/>
      <c r="I41" s="162"/>
    </row>
    <row r="42" spans="1:11">
      <c r="A42" s="4" t="s">
        <v>150</v>
      </c>
      <c r="B42" s="6">
        <v>41.61</v>
      </c>
      <c r="C42" s="4" t="s">
        <v>14</v>
      </c>
      <c r="D42" s="6">
        <v>49.88</v>
      </c>
      <c r="E42" s="4" t="s">
        <v>14</v>
      </c>
      <c r="F42" s="162"/>
      <c r="G42" s="162"/>
      <c r="H42" s="162"/>
      <c r="I42" s="162"/>
    </row>
    <row r="43" spans="1:11" ht="15.75" thickBot="1">
      <c r="A43" s="10" t="s">
        <v>151</v>
      </c>
      <c r="B43" s="12">
        <v>24.36</v>
      </c>
      <c r="C43" s="10" t="s">
        <v>14</v>
      </c>
      <c r="D43" s="12">
        <v>30.83</v>
      </c>
      <c r="E43" s="10" t="s">
        <v>14</v>
      </c>
      <c r="F43" s="162"/>
      <c r="G43" s="162"/>
      <c r="H43" s="162"/>
      <c r="I43" s="162"/>
    </row>
  </sheetData>
  <mergeCells count="2">
    <mergeCell ref="B18:E18"/>
    <mergeCell ref="G18:J18"/>
  </mergeCells>
  <pageMargins left="0.7" right="0.7" top="0.75" bottom="0.75" header="0.3" footer="0.3"/>
  <pageSetup orientation="portrait" verticalDpi="0" r:id="rId1"/>
  <legacyDrawing r:id="rId2"/>
  <controls>
    <control shapeId="131073" r:id="rId3" name="Control 1"/>
    <control shapeId="131074" r:id="rId4" name="Control 2"/>
    <control shapeId="131075" r:id="rId5" name="Control 3"/>
    <control shapeId="131076" r:id="rId6" name="Control 4"/>
    <control shapeId="131077" r:id="rId7" name="Control 5"/>
    <control shapeId="131078" r:id="rId8" name="Control 6"/>
    <control shapeId="131079" r:id="rId9" name="Control 7"/>
    <control shapeId="131080" r:id="rId10" name="Control 8"/>
    <control shapeId="131081" r:id="rId11" name="Control 9"/>
    <control shapeId="131082" r:id="rId12" name="Control 10"/>
    <control shapeId="131083" r:id="rId13" name="Control 11"/>
    <control shapeId="131084" r:id="rId14" name="Control 12"/>
    <control shapeId="131085" r:id="rId15" name="Control 13"/>
    <control shapeId="131086" r:id="rId16" name="Control 14"/>
    <control shapeId="131087" r:id="rId17" name="Control 15"/>
    <control shapeId="131088" r:id="rId18" name="Control 16"/>
    <control shapeId="131089" r:id="rId19" name="Control 17"/>
    <control shapeId="131090" r:id="rId20" name="Control 18"/>
    <control shapeId="131091" r:id="rId21" name="Control 19"/>
    <control shapeId="131092" r:id="rId22" name="Control 20"/>
    <control shapeId="131093" r:id="rId23" name="Control 21"/>
    <control shapeId="131094" r:id="rId24" name="Control 22"/>
    <control shapeId="131095" r:id="rId25" name="Control 23"/>
    <control shapeId="131096" r:id="rId26" name="Control 24"/>
    <control shapeId="131097" r:id="rId27" name="Control 25"/>
    <control shapeId="131098" r:id="rId28" name="Control 26"/>
    <control shapeId="131111" r:id="rId29" name="Control 39"/>
    <control shapeId="131112" r:id="rId30" name="Control 40"/>
    <control shapeId="131113" r:id="rId31" name="Control 41"/>
    <control shapeId="131114" r:id="rId32" name="Control 42"/>
    <control shapeId="131115" r:id="rId33" name="Control 43"/>
    <control shapeId="131116" r:id="rId34" name="Control 44"/>
    <control shapeId="131117" r:id="rId35" name="Control 45"/>
    <control shapeId="131118" r:id="rId36" name="Control 46"/>
    <control shapeId="131119" r:id="rId37" name="Control 47"/>
    <control shapeId="131120" r:id="rId38" name="Control 48"/>
    <control shapeId="131121" r:id="rId39" name="Control 49"/>
    <control shapeId="131122" r:id="rId40" name="Control 50"/>
  </controls>
</worksheet>
</file>

<file path=xl/worksheets/sheet16.xml><?xml version="1.0" encoding="utf-8"?>
<worksheet xmlns="http://schemas.openxmlformats.org/spreadsheetml/2006/main" xmlns:r="http://schemas.openxmlformats.org/officeDocument/2006/relationships">
  <sheetPr codeName="Sheet14"/>
  <dimension ref="B3:D13"/>
  <sheetViews>
    <sheetView workbookViewId="0">
      <selection activeCell="D7" sqref="D7"/>
    </sheetView>
  </sheetViews>
  <sheetFormatPr defaultRowHeight="15"/>
  <cols>
    <col min="2" max="2" width="22.85546875" customWidth="1"/>
  </cols>
  <sheetData>
    <row r="3" spans="2:4" ht="17.25" customHeight="1">
      <c r="B3" s="195" t="s">
        <v>51</v>
      </c>
      <c r="C3">
        <v>2011</v>
      </c>
    </row>
    <row r="4" spans="2:4">
      <c r="B4" s="195" t="s">
        <v>52</v>
      </c>
      <c r="C4">
        <v>2010</v>
      </c>
      <c r="D4" t="s">
        <v>352</v>
      </c>
    </row>
    <row r="5" spans="2:4">
      <c r="B5" s="195" t="s">
        <v>53</v>
      </c>
      <c r="C5">
        <v>2009</v>
      </c>
      <c r="D5" t="s">
        <v>353</v>
      </c>
    </row>
    <row r="6" spans="2:4">
      <c r="B6" s="195" t="s">
        <v>132</v>
      </c>
      <c r="C6">
        <v>2008</v>
      </c>
    </row>
    <row r="7" spans="2:4">
      <c r="B7" s="195" t="s">
        <v>54</v>
      </c>
      <c r="C7">
        <v>2007</v>
      </c>
    </row>
    <row r="8" spans="2:4">
      <c r="B8" s="195" t="s">
        <v>55</v>
      </c>
      <c r="C8">
        <v>2006</v>
      </c>
    </row>
    <row r="9" spans="2:4">
      <c r="C9">
        <v>2005</v>
      </c>
    </row>
    <row r="10" spans="2:4">
      <c r="C10">
        <v>2004</v>
      </c>
    </row>
    <row r="11" spans="2:4">
      <c r="C11">
        <v>2003</v>
      </c>
    </row>
    <row r="12" spans="2:4">
      <c r="C12">
        <v>2002</v>
      </c>
    </row>
    <row r="13" spans="2:4">
      <c r="C13">
        <v>2001</v>
      </c>
    </row>
  </sheetData>
  <sortState ref="B3:B8">
    <sortCondition ref="B3:B8"/>
  </sortState>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5"/>
  <dimension ref="B3:L18"/>
  <sheetViews>
    <sheetView workbookViewId="0">
      <selection activeCell="B36" sqref="B36"/>
    </sheetView>
  </sheetViews>
  <sheetFormatPr defaultRowHeight="15"/>
  <cols>
    <col min="2" max="2" width="29" customWidth="1"/>
    <col min="3" max="3" width="21.42578125" customWidth="1"/>
    <col min="4" max="5" width="19.7109375" customWidth="1"/>
    <col min="6" max="6" width="11.5703125" bestFit="1" customWidth="1"/>
    <col min="8" max="8" width="13.28515625" bestFit="1" customWidth="1"/>
    <col min="9" max="9" width="14.28515625" bestFit="1" customWidth="1"/>
    <col min="10" max="10" width="13.28515625" bestFit="1" customWidth="1"/>
    <col min="11" max="11" width="11.5703125" bestFit="1" customWidth="1"/>
  </cols>
  <sheetData>
    <row r="3" spans="2:12">
      <c r="B3" t="s">
        <v>58</v>
      </c>
      <c r="C3" t="s">
        <v>59</v>
      </c>
    </row>
    <row r="4" spans="2:12">
      <c r="B4" t="s">
        <v>60</v>
      </c>
      <c r="C4" s="50">
        <v>1483</v>
      </c>
      <c r="D4" t="s">
        <v>66</v>
      </c>
    </row>
    <row r="5" spans="2:12">
      <c r="B5" t="s">
        <v>61</v>
      </c>
      <c r="C5" s="50">
        <v>1418</v>
      </c>
      <c r="D5" t="s">
        <v>67</v>
      </c>
    </row>
    <row r="6" spans="2:12">
      <c r="B6" t="s">
        <v>62</v>
      </c>
      <c r="C6" s="50">
        <v>1406</v>
      </c>
      <c r="D6" t="s">
        <v>68</v>
      </c>
      <c r="F6" s="61"/>
      <c r="I6" s="62"/>
      <c r="J6" s="64"/>
      <c r="K6" s="63"/>
    </row>
    <row r="7" spans="2:12">
      <c r="B7" t="s">
        <v>63</v>
      </c>
      <c r="C7" s="50">
        <v>1409</v>
      </c>
      <c r="D7" t="s">
        <v>69</v>
      </c>
      <c r="J7" s="63"/>
      <c r="K7" s="63"/>
      <c r="L7" s="63"/>
    </row>
    <row r="8" spans="2:12">
      <c r="B8" t="s">
        <v>64</v>
      </c>
      <c r="C8" s="50">
        <v>1408</v>
      </c>
      <c r="D8" t="s">
        <v>69</v>
      </c>
    </row>
    <row r="9" spans="2:12">
      <c r="B9" t="s">
        <v>65</v>
      </c>
      <c r="C9" s="50">
        <v>1407</v>
      </c>
      <c r="D9" t="s">
        <v>69</v>
      </c>
      <c r="F9" s="63"/>
      <c r="G9" s="65"/>
      <c r="H9" s="63"/>
    </row>
    <row r="10" spans="2:12">
      <c r="G10" s="65"/>
      <c r="H10" s="63"/>
    </row>
    <row r="12" spans="2:12" ht="15.75">
      <c r="E12" s="72"/>
      <c r="F12" s="73"/>
      <c r="G12" s="72"/>
      <c r="H12" s="63"/>
      <c r="I12" s="63"/>
      <c r="J12" s="63"/>
    </row>
    <row r="13" spans="2:12" ht="15.75">
      <c r="E13" s="72"/>
      <c r="F13" s="74"/>
      <c r="G13" s="72"/>
      <c r="H13" s="63"/>
      <c r="I13" s="63"/>
    </row>
    <row r="14" spans="2:12" ht="15.75">
      <c r="E14" s="72"/>
      <c r="F14" s="74"/>
      <c r="G14" s="72"/>
      <c r="H14" s="63"/>
      <c r="I14" s="63"/>
    </row>
    <row r="15" spans="2:12" ht="15.75">
      <c r="E15" s="72"/>
      <c r="F15" s="74"/>
      <c r="G15" s="72"/>
      <c r="H15" s="63"/>
      <c r="I15" s="63"/>
    </row>
    <row r="16" spans="2:12" ht="15.75">
      <c r="E16" s="72"/>
      <c r="F16" s="74"/>
      <c r="G16" s="72"/>
      <c r="H16" s="63"/>
      <c r="K16" s="66"/>
    </row>
    <row r="17" spans="5:8" ht="15.75">
      <c r="E17" s="72"/>
      <c r="F17" s="74"/>
      <c r="G17" s="72"/>
      <c r="H17" s="63"/>
    </row>
    <row r="18" spans="5:8" ht="16.5" thickBot="1">
      <c r="E18" s="76"/>
      <c r="F18" s="77"/>
      <c r="G18" s="76"/>
      <c r="H18" s="6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6"/>
  <dimension ref="A1:G95"/>
  <sheetViews>
    <sheetView topLeftCell="A4" zoomScale="85" zoomScaleNormal="85" workbookViewId="0">
      <selection activeCell="E14" sqref="E14"/>
    </sheetView>
  </sheetViews>
  <sheetFormatPr defaultRowHeight="15"/>
  <cols>
    <col min="1" max="1" width="21.140625" customWidth="1"/>
    <col min="2" max="2" width="20.85546875" customWidth="1"/>
    <col min="3" max="3" width="7.42578125" customWidth="1"/>
    <col min="4" max="4" width="16.42578125" customWidth="1"/>
    <col min="5" max="5" width="22.28515625" customWidth="1"/>
    <col min="6" max="6" width="7.42578125" customWidth="1"/>
    <col min="7" max="7" width="17.7109375" customWidth="1"/>
    <col min="8" max="8" width="19.7109375" customWidth="1"/>
    <col min="9" max="9" width="18" customWidth="1"/>
    <col min="10" max="10" width="17.42578125" customWidth="1"/>
    <col min="11" max="11" width="14.5703125" customWidth="1"/>
  </cols>
  <sheetData>
    <row r="1" spans="1:5" ht="17.25">
      <c r="A1" s="294" t="s">
        <v>283</v>
      </c>
    </row>
    <row r="2" spans="1:5" ht="17.25">
      <c r="A2" s="294">
        <f>'A-Input Water Use Data'!A6</f>
        <v>0</v>
      </c>
    </row>
    <row r="3" spans="1:5" ht="17.25">
      <c r="A3" s="294"/>
    </row>
    <row r="4" spans="1:5" ht="17.25">
      <c r="C4" s="143"/>
      <c r="E4" s="236" t="s">
        <v>304</v>
      </c>
    </row>
    <row r="5" spans="1:5" ht="17.25">
      <c r="C5" s="143"/>
    </row>
    <row r="6" spans="1:5">
      <c r="A6" s="217"/>
    </row>
    <row r="7" spans="1:5" ht="15.75">
      <c r="A7" s="176" t="s">
        <v>169</v>
      </c>
      <c r="B7" s="172"/>
      <c r="D7" s="172" t="s">
        <v>170</v>
      </c>
      <c r="E7" s="172"/>
    </row>
    <row r="8" spans="1:5" ht="15.75">
      <c r="A8" s="176" t="s">
        <v>168</v>
      </c>
      <c r="B8" s="140"/>
      <c r="D8" s="172" t="s">
        <v>164</v>
      </c>
      <c r="E8" s="172"/>
    </row>
    <row r="9" spans="1:5">
      <c r="A9" s="88" t="s">
        <v>5</v>
      </c>
      <c r="B9" s="160" t="s">
        <v>140</v>
      </c>
      <c r="D9" s="88" t="s">
        <v>5</v>
      </c>
      <c r="E9" s="160" t="s">
        <v>140</v>
      </c>
    </row>
    <row r="10" spans="1:5" ht="18.75">
      <c r="A10" s="97" t="s">
        <v>84</v>
      </c>
      <c r="B10" s="134">
        <f>IF('A-Input Water Use Data'!B10="MROE",'Total Emissions for Systems'!C14,IF('A-Input Water Use Data'!B10="RCFM",'Total Emissions for Systems'!D14,IF('A-Input Water Use Data'!B10="RFCW",'Total Emissions for Systems'!E14,IF('A-Input Water Use Data'!B10="NYUP",'Total Emissions for Systems'!F14,IF('A-Input Water Use Data'!B10="MROW",'Total Emissions for Systems'!G14,IF('A-Input Water Use Data'!B10="RFCE",'Total Emissions for Systems'!H14))))))</f>
        <v>0</v>
      </c>
      <c r="D10" s="97" t="s">
        <v>84</v>
      </c>
      <c r="E10" s="134">
        <f>IF('A-Input Water Use Data'!B10="MROE",'Total Emissions for Systems'!C25,IF('A-Input Water Use Data'!B10="RCFM",'Total Emissions for Systems'!D25,IF('A-Input Water Use Data'!B10="RFCW",'Total Emissions for Systems'!E25,IF('A-Input Water Use Data'!B10="NYUP",'Total Emissions for Systems'!F25,IF('A-Input Water Use Data'!B10="MROW",'Total Emissions for Systems'!G25,IF('A-Input Water Use Data'!B10="RFCE",'Total Emissions for Systems'!H25))))))</f>
        <v>0</v>
      </c>
    </row>
    <row r="11" spans="1:5" ht="18.75">
      <c r="A11" s="97" t="s">
        <v>85</v>
      </c>
      <c r="B11" s="134">
        <f>IF('A-Input Water Use Data'!B10="MROE",'Total Emissions for Systems'!C15,IF('A-Input Water Use Data'!B10="RCFM",'Total Emissions for Systems'!D15,IF('A-Input Water Use Data'!B10="RFCW",'Total Emissions for Systems'!E15,IF('A-Input Water Use Data'!B10="NYUP",'Total Emissions for Systems'!F15,IF('A-Input Water Use Data'!B10="MROW",'Total Emissions for Systems'!G15,IF('A-Input Water Use Data'!B10="RFCE",'Total Emissions for Systems'!H15))))))</f>
        <v>0</v>
      </c>
      <c r="D11" s="97" t="s">
        <v>85</v>
      </c>
      <c r="E11" s="134">
        <f>IF('A-Input Water Use Data'!B10="MROE",'Total Emissions for Systems'!C26,IF('A-Input Water Use Data'!B10="RCFM",'Total Emissions for Systems'!D26,IF('A-Input Water Use Data'!B10="RFCW",'Total Emissions for Systems'!E26,IF('A-Input Water Use Data'!B10="NYUP",'Total Emissions for Systems'!F26,IF('A-Input Water Use Data'!B10="MROW",'Total Emissions for Systems'!G26,IF('A-Input Water Use Data'!B10="RFCE",'Total Emissions for Systems'!H26))))))</f>
        <v>0</v>
      </c>
    </row>
    <row r="12" spans="1:5" ht="18.75">
      <c r="A12" s="97" t="s">
        <v>86</v>
      </c>
      <c r="B12" s="134">
        <f>IF('A-Input Water Use Data'!B10="MROE",'Total Emissions for Systems'!C16,IF('A-Input Water Use Data'!B10="RCFM",'Total Emissions for Systems'!D16,IF('A-Input Water Use Data'!B10="RFCW",'Total Emissions for Systems'!E16,IF('A-Input Water Use Data'!B10="NYUP",'Total Emissions for Systems'!F16,IF('A-Input Water Use Data'!B10="MROW",'Total Emissions for Systems'!G16,IF('A-Input Water Use Data'!B10="RFCE",'Total Emissions for Systems'!H16))))))</f>
        <v>0</v>
      </c>
      <c r="D12" s="97" t="s">
        <v>86</v>
      </c>
      <c r="E12" s="134">
        <f>IF('A-Input Water Use Data'!B10="MROE",'Total Emissions for Systems'!C27,IF('A-Input Water Use Data'!B10="RCFM",'Total Emissions for Systems'!D27,IF('A-Input Water Use Data'!B10="RFCW",'Total Emissions for Systems'!E27,IF('A-Input Water Use Data'!B10="NYUP",'Total Emissions for Systems'!F27,IF('A-Input Water Use Data'!B10="MROW",'Total Emissions for Systems'!G27,IF('A-Input Water Use Data'!B10="RFCE",'Total Emissions for Systems'!H27))))))</f>
        <v>0</v>
      </c>
    </row>
    <row r="13" spans="1:5" ht="18.75">
      <c r="A13" s="97" t="s">
        <v>87</v>
      </c>
      <c r="B13" s="134">
        <f>IF('A-Input Water Use Data'!B10="MROE",'Total Emissions for Systems'!C17,IF('A-Input Water Use Data'!B10="RCFM",'Total Emissions for Systems'!D17,IF('A-Input Water Use Data'!B10="RFCW",'Total Emissions for Systems'!E17,IF('A-Input Water Use Data'!B10="NYUP",'Total Emissions for Systems'!F17,IF('A-Input Water Use Data'!B10="MROW",'Total Emissions for Systems'!G17,IF('A-Input Water Use Data'!B10="RFCE",'Total Emissions for Systems'!H17))))))</f>
        <v>0</v>
      </c>
      <c r="D13" s="97" t="s">
        <v>87</v>
      </c>
      <c r="E13" s="134">
        <f>IF('A-Input Water Use Data'!B10="MROE",'Total Emissions for Systems'!C28,IF('A-Input Water Use Data'!B10="RCFM",'Total Emissions for Systems'!D28,IF('A-Input Water Use Data'!B10="RFCW",'Total Emissions for Systems'!E28,IF('A-Input Water Use Data'!B10="NYUP",'Total Emissions for Systems'!F28,IF('A-Input Water Use Data'!B10="MROW",'Total Emissions for Systems'!G28,IF('A-Input Water Use Data'!B10="RFCE",'Total Emissions for Systems'!H28))))))</f>
        <v>0</v>
      </c>
    </row>
    <row r="14" spans="1:5" ht="18.75">
      <c r="A14" s="97" t="s">
        <v>88</v>
      </c>
      <c r="B14" s="139">
        <f>IF('A-Input Water Use Data'!B10="MROE",'Total Emissions for Systems'!C18,IF('A-Input Water Use Data'!B10="RCFM",'Total Emissions for Systems'!D18,IF('A-Input Water Use Data'!B10="RFCW",'Total Emissions for Systems'!E18,IF('A-Input Water Use Data'!B10="NYUP",'Total Emissions for Systems'!F18,IF('A-Input Water Use Data'!B10="MROW",'Total Emissions for Systems'!G18,IF('A-Input Water Use Data'!B10="RFCE",'Total Emissions for Systems'!H18))))))</f>
        <v>0</v>
      </c>
      <c r="D14" s="97" t="s">
        <v>88</v>
      </c>
      <c r="E14" s="139">
        <f>IF('A-Input Water Use Data'!B10="MROE",'Total Emissions for Systems'!C29,IF('A-Input Water Use Data'!B10="RCFM",'Total Emissions for Systems'!D29,IF('A-Input Water Use Data'!B10="RFCW",'Total Emissions for Systems'!E29,IF('A-Input Water Use Data'!B10="NYUP",'Total Emissions for Systems'!F29,IF('A-Input Water Use Data'!B10="MROW",'Total Emissions for Systems'!G29,IF('A-Input Water Use Data'!B10="RFCE",'Total Emissions for Systems'!H29))))))</f>
        <v>0</v>
      </c>
    </row>
    <row r="15" spans="1:5" ht="18.75">
      <c r="A15" s="97" t="s">
        <v>89</v>
      </c>
      <c r="B15" s="134">
        <f>IF('A-Input Water Use Data'!B10="MROE",'Total Emissions for Systems'!C19,IF('A-Input Water Use Data'!B10="RCFM",'Total Emissions for Systems'!D19,IF('A-Input Water Use Data'!B10="RFCW",'Total Emissions for Systems'!E19,IF('A-Input Water Use Data'!B10="NYUP",'Total Emissions for Systems'!F19,IF('A-Input Water Use Data'!B10="MROW",'Total Emissions for Systems'!G19,IF('A-Input Water Use Data'!B10="RFCE",'Total Emissions for Systems'!H19))))))</f>
        <v>0</v>
      </c>
      <c r="D15" s="97" t="s">
        <v>89</v>
      </c>
      <c r="E15" s="134">
        <f>IF('A-Input Water Use Data'!B10="MROE",'Total Emissions for Systems'!C30,IF('A-Input Water Use Data'!B10="RCFM",'Total Emissions for Systems'!D30,IF('A-Input Water Use Data'!B10="RFCW",'Total Emissions for Systems'!E30,IF('A-Input Water Use Data'!B10="NYUP",'Total Emissions for Systems'!F30,IF('A-Input Water Use Data'!B10="MROW",'Total Emissions for Systems'!G30,IF('A-Input Water Use Data'!B10="RFCE",'Total Emissions for Systems'!H30))))))</f>
        <v>0</v>
      </c>
    </row>
    <row r="16" spans="1:5" ht="18.75">
      <c r="A16" s="97" t="s">
        <v>90</v>
      </c>
      <c r="B16" s="134">
        <f>IF('A-Input Water Use Data'!B10="MROE",'Total Emissions for Systems'!C20,IF('A-Input Water Use Data'!B10="RCFM",'Total Emissions for Systems'!D20,IF('A-Input Water Use Data'!B10="RFCW",'Total Emissions for Systems'!E20,IF('A-Input Water Use Data'!B10="NYUP",'Total Emissions for Systems'!F20,IF('A-Input Water Use Data'!B10="MROW",'Total Emissions for Systems'!G20,IF('A-Input Water Use Data'!B10="RFCE",'Total Emissions for Systems'!H20))))))</f>
        <v>0</v>
      </c>
      <c r="D16" s="97" t="s">
        <v>90</v>
      </c>
      <c r="E16" s="134">
        <f>IF('A-Input Water Use Data'!B10="MROE",'Total Emissions for Systems'!C31,IF('A-Input Water Use Data'!B10="RCFM",'Total Emissions for Systems'!D31,IF('A-Input Water Use Data'!B10="RFCW",'Total Emissions for Systems'!E31,IF('A-Input Water Use Data'!B10="NYUP",'Total Emissions for Systems'!F31,IF('A-Input Water Use Data'!B10="MROW",'Total Emissions for Systems'!G31,IF('A-Input Water Use Data'!B10="RFCE",'Total Emissions for Systems'!H31))))))</f>
        <v>0</v>
      </c>
    </row>
    <row r="20" spans="1:4" ht="15.75">
      <c r="A20" s="173" t="s">
        <v>177</v>
      </c>
      <c r="B20" s="173"/>
    </row>
    <row r="21" spans="1:4" ht="15.75">
      <c r="A21" s="173" t="s">
        <v>180</v>
      </c>
      <c r="B21" s="173"/>
    </row>
    <row r="22" spans="1:4" ht="15.75">
      <c r="A22" s="173" t="s">
        <v>181</v>
      </c>
      <c r="B22" s="173"/>
    </row>
    <row r="23" spans="1:4">
      <c r="A23" s="155" t="s">
        <v>5</v>
      </c>
      <c r="B23" s="160" t="s">
        <v>140</v>
      </c>
    </row>
    <row r="24" spans="1:4" ht="18.75">
      <c r="A24" s="154" t="s">
        <v>84</v>
      </c>
      <c r="B24" s="146">
        <f t="shared" ref="B24:B30" si="0">B10+E10</f>
        <v>0</v>
      </c>
    </row>
    <row r="25" spans="1:4" ht="18.75">
      <c r="A25" s="97" t="s">
        <v>85</v>
      </c>
      <c r="B25" s="134">
        <f t="shared" si="0"/>
        <v>0</v>
      </c>
    </row>
    <row r="26" spans="1:4" ht="18.75">
      <c r="A26" s="97" t="s">
        <v>86</v>
      </c>
      <c r="B26" s="134">
        <f t="shared" si="0"/>
        <v>0</v>
      </c>
    </row>
    <row r="27" spans="1:4" ht="18.75">
      <c r="A27" s="97" t="s">
        <v>87</v>
      </c>
      <c r="B27" s="134">
        <f t="shared" si="0"/>
        <v>0</v>
      </c>
    </row>
    <row r="28" spans="1:4" ht="18.75">
      <c r="A28" s="97" t="s">
        <v>88</v>
      </c>
      <c r="B28" s="139">
        <f t="shared" si="0"/>
        <v>0</v>
      </c>
    </row>
    <row r="29" spans="1:4" ht="18.75">
      <c r="A29" s="97" t="s">
        <v>89</v>
      </c>
      <c r="B29" s="134">
        <f t="shared" si="0"/>
        <v>0</v>
      </c>
    </row>
    <row r="30" spans="1:4" ht="18.75">
      <c r="A30" s="97" t="s">
        <v>90</v>
      </c>
      <c r="B30" s="134">
        <f t="shared" si="0"/>
        <v>0</v>
      </c>
    </row>
    <row r="31" spans="1:4">
      <c r="C31" s="132"/>
    </row>
    <row r="32" spans="1:4">
      <c r="C32" s="132"/>
      <c r="D32" s="246" t="s">
        <v>317</v>
      </c>
    </row>
    <row r="33" spans="1:7">
      <c r="C33" s="136"/>
      <c r="D33" s="246" t="s">
        <v>322</v>
      </c>
    </row>
    <row r="34" spans="1:7">
      <c r="A34" t="s">
        <v>250</v>
      </c>
      <c r="C34" s="132"/>
    </row>
    <row r="35" spans="1:7">
      <c r="A35" t="s">
        <v>246</v>
      </c>
      <c r="C35" s="132"/>
    </row>
    <row r="36" spans="1:7">
      <c r="A36" t="s">
        <v>247</v>
      </c>
      <c r="C36" s="132"/>
    </row>
    <row r="37" spans="1:7">
      <c r="A37" t="s">
        <v>251</v>
      </c>
      <c r="C37" s="132"/>
    </row>
    <row r="38" spans="1:7">
      <c r="C38" s="132"/>
    </row>
    <row r="39" spans="1:7">
      <c r="C39" s="132"/>
    </row>
    <row r="40" spans="1:7" ht="17.25">
      <c r="C40" s="132"/>
      <c r="G40" s="143"/>
    </row>
    <row r="41" spans="1:7">
      <c r="C41" s="132"/>
    </row>
    <row r="42" spans="1:7">
      <c r="C42" s="137"/>
    </row>
    <row r="43" spans="1:7">
      <c r="C43" s="137"/>
    </row>
    <row r="45" spans="1:7" ht="17.25">
      <c r="C45" s="181" t="s">
        <v>137</v>
      </c>
    </row>
    <row r="46" spans="1:7" ht="17.25">
      <c r="B46" s="138"/>
      <c r="C46" s="181" t="s">
        <v>197</v>
      </c>
    </row>
    <row r="47" spans="1:7" ht="17.25">
      <c r="B47" s="138"/>
      <c r="C47" s="181">
        <f>'A-Input Water Use Data'!A6</f>
        <v>0</v>
      </c>
    </row>
    <row r="48" spans="1:7" ht="17.25">
      <c r="B48" s="138"/>
      <c r="C48" s="181"/>
    </row>
    <row r="49" spans="1:5">
      <c r="B49" s="138"/>
    </row>
    <row r="50" spans="1:5" ht="15.75">
      <c r="A50" s="159" t="s">
        <v>175</v>
      </c>
      <c r="B50" s="159"/>
      <c r="D50" s="157" t="s">
        <v>175</v>
      </c>
      <c r="E50" s="157"/>
    </row>
    <row r="51" spans="1:5" ht="15.75">
      <c r="A51" s="159" t="s">
        <v>167</v>
      </c>
      <c r="B51" s="159"/>
      <c r="D51" s="157" t="s">
        <v>174</v>
      </c>
      <c r="E51" s="157"/>
    </row>
    <row r="52" spans="1:5" ht="15.75">
      <c r="A52" s="159" t="s">
        <v>166</v>
      </c>
      <c r="B52" s="156"/>
      <c r="D52" s="157" t="s">
        <v>165</v>
      </c>
      <c r="E52" s="158"/>
    </row>
    <row r="53" spans="1:5">
      <c r="A53" s="174" t="s">
        <v>5</v>
      </c>
      <c r="B53" s="175" t="s">
        <v>139</v>
      </c>
      <c r="D53" s="174" t="s">
        <v>5</v>
      </c>
      <c r="E53" s="175" t="s">
        <v>139</v>
      </c>
    </row>
    <row r="54" spans="1:5" ht="18.75">
      <c r="A54" s="154" t="s">
        <v>84</v>
      </c>
      <c r="B54" s="146">
        <f>IF('A-Input Water Use Data'!B10="MROE",'Reduced Emis Val-Options'!C14,IF('A-Input Water Use Data'!B10="RCFM",'Reduced Emis Val-Options'!D14,IF('A-Input Water Use Data'!B10="RFCW",'Reduced Emis Val-Options'!E14,IF('A-Input Water Use Data'!B10="NYUP",'Reduced Emis Val-Options'!F14,IF('A-Input Water Use Data'!B10="MROW",'Reduced Emis Val-Options'!G14,IF('A-Input Water Use Data'!B10="RFCE",'Reduced Emis Val-Options'!H14))))))</f>
        <v>0</v>
      </c>
      <c r="D54" s="154" t="s">
        <v>84</v>
      </c>
      <c r="E54" s="146">
        <f>IF('A-Input Water Use Data'!B10="MROE",'Reduced Emis Val-Options'!C25,IF('A-Input Water Use Data'!B10="RCFM",'Reduced Emis Val-Options'!D25,IF('A-Input Water Use Data'!B10="RFCW",'Reduced Emis Val-Options'!E25,IF('A-Input Water Use Data'!B10="NYUP",'Reduced Emis Val-Options'!F25,IF('A-Input Water Use Data'!B10="MROW",'Reduced Emis Val-Options'!G25,IF('A-Input Water Use Data'!B10="RFCE",'Reduced Emis Val-Options'!H25))))))</f>
        <v>0</v>
      </c>
    </row>
    <row r="55" spans="1:5" ht="18.75">
      <c r="A55" s="97" t="s">
        <v>85</v>
      </c>
      <c r="B55" s="134">
        <f>IF('A-Input Water Use Data'!B10="MROE",'Reduced Emis Val-Options'!C15,IF('A-Input Water Use Data'!B10="RCFM",'Reduced Emis Val-Options'!D15,IF('A-Input Water Use Data'!B10="RFCW",'Reduced Emis Val-Options'!E15,IF('A-Input Water Use Data'!B10="NYUP",'Reduced Emis Val-Options'!F15,IF('A-Input Water Use Data'!B10="MROW",'Reduced Emis Val-Options'!G15,IF('A-Input Water Use Data'!B10="RFCE",'Reduced Emis Val-Options'!H15))))))</f>
        <v>0</v>
      </c>
      <c r="D55" s="97" t="s">
        <v>85</v>
      </c>
      <c r="E55" s="134">
        <f>IF('A-Input Water Use Data'!B10="MROE",'Reduced Emis Val-Options'!C26,IF('A-Input Water Use Data'!B10="RCFM",'Reduced Emis Val-Options'!D26,IF('A-Input Water Use Data'!B10="RFCW",'Reduced Emis Val-Options'!E26,IF('A-Input Water Use Data'!B10="NYUP",'Reduced Emis Val-Options'!F26,IF('A-Input Water Use Data'!B10="MROW",'Reduced Emis Val-Options'!G26,IF('A-Input Water Use Data'!B10="RFCE",'Reduced Emis Val-Options'!H26))))))</f>
        <v>0</v>
      </c>
    </row>
    <row r="56" spans="1:5" ht="18.75">
      <c r="A56" s="97" t="s">
        <v>86</v>
      </c>
      <c r="B56" s="134">
        <f>IF('A-Input Water Use Data'!B10="MROE",'Reduced Emis Val-Options'!C16,IF('A-Input Water Use Data'!B10="RCFM",'Reduced Emis Val-Options'!D16,IF('A-Input Water Use Data'!B10="RFCW",'Reduced Emis Val-Options'!E16,IF('A-Input Water Use Data'!B10="NYUP",'Reduced Emis Val-Options'!F16,IF('A-Input Water Use Data'!B10="MROW",'Reduced Emis Val-Options'!G16,IF('A-Input Water Use Data'!B10="RFCE",'Reduced Emis Val-Options'!H16))))))</f>
        <v>0</v>
      </c>
      <c r="D56" s="97" t="s">
        <v>86</v>
      </c>
      <c r="E56" s="134">
        <f>IF('A-Input Water Use Data'!B10="MROE",'Reduced Emis Val-Options'!C27,IF('A-Input Water Use Data'!B10="RCFM",'Reduced Emis Val-Options'!D27,IF('A-Input Water Use Data'!B10="RFCW",'Reduced Emis Val-Options'!E27,IF('A-Input Water Use Data'!B10="NYUP",'Reduced Emis Val-Options'!F27,IF('A-Input Water Use Data'!B10="MROW",'Reduced Emis Val-Options'!G27,IF('A-Input Water Use Data'!B10="RFCE",'Reduced Emis Val-Options'!H27))))))</f>
        <v>0</v>
      </c>
    </row>
    <row r="57" spans="1:5" ht="18.75">
      <c r="A57" s="97" t="s">
        <v>87</v>
      </c>
      <c r="B57" s="134">
        <f>IF('A-Input Water Use Data'!B10="MROE",'Reduced Emis Val-Options'!C17,IF('A-Input Water Use Data'!B10="RCFM",'Reduced Emis Val-Options'!D17,IF('A-Input Water Use Data'!B10="RFCW",'Reduced Emis Val-Options'!E17,IF('A-Input Water Use Data'!B10="NYUP",'Reduced Emis Val-Options'!F17,IF('A-Input Water Use Data'!B10="MROW",'Reduced Emis Val-Options'!G17,IF('A-Input Water Use Data'!B10="RFCE",'Reduced Emis Val-Options'!H17))))))</f>
        <v>0</v>
      </c>
      <c r="D57" s="97" t="s">
        <v>87</v>
      </c>
      <c r="E57" s="134">
        <f>IF('A-Input Water Use Data'!B10="MROE",'Reduced Emis Val-Options'!C28,IF('A-Input Water Use Data'!B10="RCFM",'Reduced Emis Val-Options'!D28,IF('A-Input Water Use Data'!B10="RFCW",'Reduced Emis Val-Options'!E28,IF('A-Input Water Use Data'!B10="NYUP",'Reduced Emis Val-Options'!F28,IF('A-Input Water Use Data'!B10="MROW",'Reduced Emis Val-Options'!G28,IF('A-Input Water Use Data'!B10="RFCE",'Reduced Emis Val-Options'!H28))))))</f>
        <v>0</v>
      </c>
    </row>
    <row r="58" spans="1:5" ht="18.75">
      <c r="A58" s="97" t="s">
        <v>88</v>
      </c>
      <c r="B58" s="139">
        <f>IF('A-Input Water Use Data'!B10="MROE",'Reduced Emis Val-Options'!C18,IF('A-Input Water Use Data'!B10="RCFM",'Reduced Emis Val-Options'!D18,IF('A-Input Water Use Data'!B10="RFCW",'Reduced Emis Val-Options'!E18,IF('A-Input Water Use Data'!B10="NYUP",'Reduced Emis Val-Options'!F18,IF('A-Input Water Use Data'!B10="MROW",'Reduced Emis Val-Options'!G18,IF('A-Input Water Use Data'!B10="RFCE",'Reduced Emis Val-Options'!H18))))))</f>
        <v>0</v>
      </c>
      <c r="D58" s="97" t="s">
        <v>88</v>
      </c>
      <c r="E58" s="139">
        <f>IF('A-Input Water Use Data'!B10="MROE",'Reduced Emis Val-Options'!C29,IF('A-Input Water Use Data'!B10="RCFM",'Reduced Emis Val-Options'!D29,IF('A-Input Water Use Data'!B10="RFCW",'Reduced Emis Val-Options'!E29,IF('A-Input Water Use Data'!B10="NYUP",'Reduced Emis Val-Options'!F29,IF('A-Input Water Use Data'!B10="MROW",'Reduced Emis Val-Options'!G29,IF('A-Input Water Use Data'!B10="RFCE",'Reduced Emis Val-Options'!H29))))))</f>
        <v>0</v>
      </c>
    </row>
    <row r="59" spans="1:5" ht="18.75">
      <c r="A59" s="97" t="s">
        <v>89</v>
      </c>
      <c r="B59" s="134">
        <f>IF('A-Input Water Use Data'!B10="MROE",'Reduced Emis Val-Options'!C19,IF('A-Input Water Use Data'!B10="RCFM",'Reduced Emis Val-Options'!D19,IF('A-Input Water Use Data'!B10="RFCW",'Reduced Emis Val-Options'!E19,IF('A-Input Water Use Data'!B10="NYUP",'Reduced Emis Val-Options'!F19,IF('A-Input Water Use Data'!B10="MROW",'Reduced Emis Val-Options'!G19,IF('A-Input Water Use Data'!B10="RFCE",'Reduced Emis Val-Options'!H19))))))</f>
        <v>0</v>
      </c>
      <c r="D59" s="97" t="s">
        <v>89</v>
      </c>
      <c r="E59" s="134">
        <f>IF('A-Input Water Use Data'!B10="MROE",'Reduced Emis Val-Options'!C30,IF('A-Input Water Use Data'!B10="RCFM",'Reduced Emis Val-Options'!D30,IF('A-Input Water Use Data'!B10="RFCW",'Reduced Emis Val-Options'!E30,IF('A-Input Water Use Data'!B10="NYUP",'Reduced Emis Val-Options'!F30,IF('A-Input Water Use Data'!B10="MROW",'Reduced Emis Val-Options'!G30,IF('A-Input Water Use Data'!B10="RFCE",'Reduced Emis Val-Options'!H30))))))</f>
        <v>0</v>
      </c>
    </row>
    <row r="60" spans="1:5" ht="18.75">
      <c r="A60" s="97" t="s">
        <v>90</v>
      </c>
      <c r="B60" s="134">
        <f>IF('A-Input Water Use Data'!B10="MROE",'Reduced Emis Val-Options'!C20,IF('A-Input Water Use Data'!B10="RCFM",'Reduced Emis Val-Options'!D20,IF('A-Input Water Use Data'!B10="RFCW",'Reduced Emis Val-Options'!E20,IF('A-Input Water Use Data'!B10="NYUP",'Reduced Emis Val-Options'!F20,IF('A-Input Water Use Data'!B10="MROW",'Reduced Emis Val-Options'!G20,IF('A-Input Water Use Data'!B10="RFCE",'Reduced Emis Val-Options'!H20))))))</f>
        <v>0</v>
      </c>
      <c r="D60" s="97" t="s">
        <v>90</v>
      </c>
      <c r="E60" s="134">
        <f>IF('A-Input Water Use Data'!B10="MROE",'Reduced Emis Val-Options'!C31,IF('A-Input Water Use Data'!B10="RCFM",'Reduced Emis Val-Options'!D31,IF('A-Input Water Use Data'!B10="RFCW",'Reduced Emis Val-Options'!E31,IF('A-Input Water Use Data'!B10="NYUP",'Reduced Emis Val-Options'!F31,IF('A-Input Water Use Data'!B10="MROW",'Reduced Emis Val-Options'!G31,IF('A-Input Water Use Data'!B10="RFCE",'Reduced Emis Val-Options'!H31))))))</f>
        <v>0</v>
      </c>
    </row>
    <row r="63" spans="1:5" ht="15.75">
      <c r="A63" s="157" t="s">
        <v>178</v>
      </c>
      <c r="B63" s="157"/>
    </row>
    <row r="64" spans="1:5" ht="15.75">
      <c r="A64" s="157" t="s">
        <v>173</v>
      </c>
      <c r="B64" s="157"/>
    </row>
    <row r="65" spans="1:2" ht="15.75">
      <c r="A65" s="157" t="s">
        <v>179</v>
      </c>
      <c r="B65" s="157"/>
    </row>
    <row r="66" spans="1:2">
      <c r="A66" s="174" t="s">
        <v>5</v>
      </c>
      <c r="B66" s="175" t="s">
        <v>139</v>
      </c>
    </row>
    <row r="67" spans="1:2" ht="18.75">
      <c r="A67" s="154" t="s">
        <v>84</v>
      </c>
      <c r="B67" s="146">
        <f t="shared" ref="B67:B73" si="1">B54+E54</f>
        <v>0</v>
      </c>
    </row>
    <row r="68" spans="1:2" ht="18.75">
      <c r="A68" s="97" t="s">
        <v>85</v>
      </c>
      <c r="B68" s="134">
        <f t="shared" si="1"/>
        <v>0</v>
      </c>
    </row>
    <row r="69" spans="1:2" ht="18.75">
      <c r="A69" s="97" t="s">
        <v>86</v>
      </c>
      <c r="B69" s="134">
        <f t="shared" si="1"/>
        <v>0</v>
      </c>
    </row>
    <row r="70" spans="1:2" ht="18.75">
      <c r="A70" s="97" t="s">
        <v>87</v>
      </c>
      <c r="B70" s="134">
        <f t="shared" si="1"/>
        <v>0</v>
      </c>
    </row>
    <row r="71" spans="1:2" ht="18.75">
      <c r="A71" s="97" t="s">
        <v>88</v>
      </c>
      <c r="B71" s="139">
        <f t="shared" si="1"/>
        <v>0</v>
      </c>
    </row>
    <row r="72" spans="1:2" ht="18.75">
      <c r="A72" s="97" t="s">
        <v>89</v>
      </c>
      <c r="B72" s="134">
        <f t="shared" si="1"/>
        <v>0</v>
      </c>
    </row>
    <row r="73" spans="1:2" ht="18.75">
      <c r="A73" s="97" t="s">
        <v>90</v>
      </c>
      <c r="B73" s="134">
        <f t="shared" si="1"/>
        <v>0</v>
      </c>
    </row>
    <row r="77" spans="1:2">
      <c r="A77" t="s">
        <v>248</v>
      </c>
    </row>
    <row r="78" spans="1:2">
      <c r="A78" t="s">
        <v>249</v>
      </c>
    </row>
    <row r="79" spans="1:2">
      <c r="A79" t="s">
        <v>251</v>
      </c>
    </row>
    <row r="85" spans="1:1" ht="31.5" customHeight="1"/>
    <row r="86" spans="1:1" ht="17.25">
      <c r="A86" s="143"/>
    </row>
    <row r="87" spans="1:1" ht="17.25">
      <c r="A87" s="143"/>
    </row>
    <row r="88" spans="1:1" ht="17.25">
      <c r="A88" s="143"/>
    </row>
    <row r="89" spans="1:1" ht="17.25">
      <c r="A89" s="143"/>
    </row>
    <row r="90" spans="1:1" ht="47.25" customHeight="1">
      <c r="A90" s="143"/>
    </row>
    <row r="91" spans="1:1" ht="17.25">
      <c r="A91" s="143"/>
    </row>
    <row r="92" spans="1:1" ht="17.25">
      <c r="A92" s="143"/>
    </row>
    <row r="93" spans="1:1" ht="17.25">
      <c r="A93" s="143"/>
    </row>
    <row r="94" spans="1:1" ht="17.25">
      <c r="A94" s="143"/>
    </row>
    <row r="95" spans="1:1" ht="17.25">
      <c r="A95" s="143"/>
    </row>
  </sheetData>
  <sheetProtection password="8197" sheet="1" objects="1" scenarios="1"/>
  <dataConsolidate/>
  <conditionalFormatting sqref="B62:B73 E111:E1048576 E86 E74:E79 K37:K41 E31:E43 B1:B30 B45:B60">
    <cfRule type="expression" priority="5">
      <formula>"iserror(e1)"</formula>
    </cfRule>
  </conditionalFormatting>
  <hyperlinks>
    <hyperlink ref="E4" location="Overview!A1" display="Return to Overview Page"/>
    <hyperlink ref="D32" location="'A-Carbon Credit Value Scenarios'!A1" display="Go to &quot;A-Carbon Credit Value Scenarios'"/>
    <hyperlink ref="D33" location="'A-Summary Output'!A1" display="Return to &quot;A-Summary Output&quot;"/>
  </hyperlinks>
  <pageMargins left="0.25" right="0.25"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sheetPr codeName="Sheet17"/>
  <dimension ref="B1:H62"/>
  <sheetViews>
    <sheetView topLeftCell="A60" workbookViewId="0">
      <selection activeCell="B1" sqref="B1"/>
    </sheetView>
  </sheetViews>
  <sheetFormatPr defaultRowHeight="15"/>
  <cols>
    <col min="2" max="2" width="38.140625" customWidth="1"/>
    <col min="3" max="3" width="18" customWidth="1"/>
    <col min="4" max="4" width="19.5703125" customWidth="1"/>
    <col min="5" max="5" width="19.42578125" customWidth="1"/>
    <col min="6" max="6" width="15.7109375" customWidth="1"/>
    <col min="7" max="7" width="14.85546875" customWidth="1"/>
    <col min="8" max="8" width="15.7109375" customWidth="1"/>
  </cols>
  <sheetData>
    <row r="1" spans="2:8">
      <c r="B1" t="s">
        <v>312</v>
      </c>
      <c r="D1" s="118" t="s">
        <v>92</v>
      </c>
    </row>
    <row r="2" spans="2:8">
      <c r="B2" s="75"/>
    </row>
    <row r="3" spans="2:8">
      <c r="C3" s="322" t="s">
        <v>79</v>
      </c>
      <c r="D3" s="322"/>
      <c r="E3" s="322"/>
      <c r="F3" s="80"/>
      <c r="G3" s="127"/>
      <c r="H3" s="127"/>
    </row>
    <row r="4" spans="2:8" ht="45.75">
      <c r="B4" s="81" t="s">
        <v>97</v>
      </c>
      <c r="C4" s="86" t="s">
        <v>98</v>
      </c>
      <c r="E4" s="127"/>
    </row>
    <row r="5" spans="2:8">
      <c r="B5" s="85" t="s">
        <v>95</v>
      </c>
      <c r="C5" s="102" t="str">
        <f>'A-Output-WaterElectric Impact'!B12</f>
        <v>0</v>
      </c>
      <c r="D5" s="125"/>
      <c r="G5" s="120"/>
      <c r="H5" s="61"/>
    </row>
    <row r="6" spans="2:8">
      <c r="B6" s="84" t="s">
        <v>96</v>
      </c>
      <c r="C6" s="102" t="str">
        <f>'A-Output-WaterElectric Impact'!B13</f>
        <v>0</v>
      </c>
      <c r="D6" s="125"/>
      <c r="G6" s="120"/>
      <c r="H6" s="61"/>
    </row>
    <row r="8" spans="2:8" ht="37.5">
      <c r="B8" s="89" t="s">
        <v>94</v>
      </c>
      <c r="C8" s="86" t="s">
        <v>106</v>
      </c>
      <c r="D8" s="79"/>
    </row>
    <row r="9" spans="2:8" ht="45">
      <c r="B9" s="82" t="s">
        <v>121</v>
      </c>
      <c r="C9" s="102" t="e">
        <f>#REF!/1000000</f>
        <v>#REF!</v>
      </c>
      <c r="D9" s="62"/>
    </row>
    <row r="10" spans="2:8" ht="45">
      <c r="B10" s="83" t="s">
        <v>122</v>
      </c>
      <c r="C10" s="102" t="e">
        <f>#REF!/1000000</f>
        <v>#REF!</v>
      </c>
      <c r="D10" s="62"/>
    </row>
    <row r="12" spans="2:8" ht="37.5">
      <c r="B12" s="119" t="s">
        <v>100</v>
      </c>
      <c r="C12" s="323" t="s">
        <v>91</v>
      </c>
      <c r="D12" s="323"/>
      <c r="E12" s="323"/>
      <c r="F12" s="323"/>
      <c r="G12" s="323"/>
    </row>
    <row r="13" spans="2:8" ht="45">
      <c r="B13" s="88" t="s">
        <v>5</v>
      </c>
      <c r="C13" s="90" t="s">
        <v>93</v>
      </c>
      <c r="D13" s="91" t="s">
        <v>80</v>
      </c>
      <c r="E13" s="91" t="s">
        <v>81</v>
      </c>
      <c r="F13" s="91" t="s">
        <v>82</v>
      </c>
      <c r="G13" s="91" t="s">
        <v>83</v>
      </c>
      <c r="H13" s="90" t="s">
        <v>159</v>
      </c>
    </row>
    <row r="14" spans="2:8" ht="18.75">
      <c r="B14" s="97" t="s">
        <v>84</v>
      </c>
      <c r="C14" s="94" t="e">
        <f>MROE!B36*(C9*(C5/1000))</f>
        <v>#REF!</v>
      </c>
      <c r="D14" s="92" t="e">
        <f>RFCM!B37*(C9*(C5/1000))</f>
        <v>#REF!</v>
      </c>
      <c r="E14" s="92" t="e">
        <f>RFCW!B37*(C9*(C5/1000))</f>
        <v>#REF!</v>
      </c>
      <c r="F14" s="92" t="e">
        <f>NYUP!B37*(C9*(C5/1000))</f>
        <v>#REF!</v>
      </c>
      <c r="G14" s="92" t="e">
        <f>MROW!B37*(C9*(C5/1000))</f>
        <v>#REF!</v>
      </c>
      <c r="H14" s="94" t="e">
        <f>(C9*(C5/1000))*RFCE!B37</f>
        <v>#REF!</v>
      </c>
    </row>
    <row r="15" spans="2:8" ht="18.75">
      <c r="B15" s="97" t="s">
        <v>85</v>
      </c>
      <c r="C15" s="94" t="e">
        <f>MROE!B37*(C9*(C5/1000))</f>
        <v>#REF!</v>
      </c>
      <c r="D15" s="92" t="e">
        <f>RFCM!B38*(C9*(C5/1000))</f>
        <v>#REF!</v>
      </c>
      <c r="E15" s="92" t="e">
        <f>RFCW!B38*(C9*(C5/1000))</f>
        <v>#REF!</v>
      </c>
      <c r="F15" s="92" t="e">
        <f>NYUP!B38*(C9*(C5/1000))</f>
        <v>#REF!</v>
      </c>
      <c r="G15" s="92" t="e">
        <f>MROW!B38*(C9*(C5/1000))</f>
        <v>#REF!</v>
      </c>
      <c r="H15" s="94" t="e">
        <f>(C9*(C5/1000))*RFCE!B38</f>
        <v>#REF!</v>
      </c>
    </row>
    <row r="16" spans="2:8" ht="18.75">
      <c r="B16" s="97" t="s">
        <v>86</v>
      </c>
      <c r="C16" s="94" t="e">
        <f>MROE!B38*(C9*(C5/1000))</f>
        <v>#REF!</v>
      </c>
      <c r="D16" s="92" t="e">
        <f>RFCM!B39*(C9*(C5/1000))</f>
        <v>#REF!</v>
      </c>
      <c r="E16" s="92" t="e">
        <f>RFCW!B39*(C9*(C5/1000))</f>
        <v>#REF!</v>
      </c>
      <c r="F16" s="92" t="e">
        <f>NYUP!B39*(C9*(C5/1000))</f>
        <v>#REF!</v>
      </c>
      <c r="G16" s="92" t="e">
        <f>MROW!B39*(C9*(C5/1000))</f>
        <v>#REF!</v>
      </c>
      <c r="H16" s="94" t="e">
        <f>(C9*(C5/1000))*RFCE!B39</f>
        <v>#REF!</v>
      </c>
    </row>
    <row r="17" spans="2:8" ht="18.75">
      <c r="B17" s="97" t="s">
        <v>87</v>
      </c>
      <c r="C17" s="94" t="e">
        <f>MROE!B39*(C9*(C5/1000))</f>
        <v>#REF!</v>
      </c>
      <c r="D17" s="92" t="e">
        <f>RFCM!B40*(C9*(C5/1000))</f>
        <v>#REF!</v>
      </c>
      <c r="E17" s="92" t="e">
        <f>RFCW!B40*(C9*(C5/1000))</f>
        <v>#REF!</v>
      </c>
      <c r="F17" s="92" t="e">
        <f>NYUP!B40*(C9*(C5/1000))</f>
        <v>#REF!</v>
      </c>
      <c r="G17" s="92" t="e">
        <f>MROW!B40*(C9*(C5/1000))</f>
        <v>#REF!</v>
      </c>
      <c r="H17" s="94" t="e">
        <f>(C9*(C5/1000))*RFCE!B40</f>
        <v>#REF!</v>
      </c>
    </row>
    <row r="18" spans="2:8" ht="18.75">
      <c r="B18" s="97" t="s">
        <v>88</v>
      </c>
      <c r="C18" s="95" t="e">
        <f>(MROE!B40*(C9*(C5/1000000)))</f>
        <v>#REF!</v>
      </c>
      <c r="D18" s="93" t="e">
        <f>RFCM!B41*(C9*(C5/1000000))</f>
        <v>#REF!</v>
      </c>
      <c r="E18" s="93" t="e">
        <f>RFCW!B41*(C9*(C5/1000000))</f>
        <v>#REF!</v>
      </c>
      <c r="F18" s="93" t="e">
        <f>NYUP!B41*(C9*(C5/1000000))</f>
        <v>#REF!</v>
      </c>
      <c r="G18" s="93" t="e">
        <f>MROW!B41*(C9*(C5/1000000))</f>
        <v>#REF!</v>
      </c>
      <c r="H18" s="130" t="e">
        <f>(C9*(C5/1000000))*RFCE!B41</f>
        <v>#REF!</v>
      </c>
    </row>
    <row r="19" spans="2:8" ht="18.75">
      <c r="B19" s="97" t="s">
        <v>89</v>
      </c>
      <c r="C19" s="99" t="e">
        <f>(MROE!B41*(C9*(C5/1000000)))</f>
        <v>#REF!</v>
      </c>
      <c r="D19" s="100" t="e">
        <f>RFCM!B42*(C9*(C5/1000000))</f>
        <v>#REF!</v>
      </c>
      <c r="E19" s="100" t="e">
        <f>RFCW!B42*(C9*(C5/1000000))</f>
        <v>#REF!</v>
      </c>
      <c r="F19" s="100" t="e">
        <f>NYUP!B42*(C9*(C5/1000000))</f>
        <v>#REF!</v>
      </c>
      <c r="G19" s="100" t="e">
        <f>MROW!B42*(C9*(C5/1000000))</f>
        <v>#REF!</v>
      </c>
      <c r="H19" s="101" t="e">
        <f>(C9*(C5/1000000))*RFCE!B42</f>
        <v>#REF!</v>
      </c>
    </row>
    <row r="20" spans="2:8" ht="18.75">
      <c r="B20" s="97" t="s">
        <v>90</v>
      </c>
      <c r="C20" s="99" t="e">
        <f>MROE!B42*(C9*(C5/1000000))</f>
        <v>#REF!</v>
      </c>
      <c r="D20" s="100" t="e">
        <f>RFCM!B43*(C9*(C5/1000000))</f>
        <v>#REF!</v>
      </c>
      <c r="E20" s="100" t="e">
        <f>RFCW!B43*(C9*(C5/1000000))</f>
        <v>#REF!</v>
      </c>
      <c r="F20" s="100" t="e">
        <f>NYUP!B43*(C9*(C5/1000000))</f>
        <v>#REF!</v>
      </c>
      <c r="G20" s="100" t="e">
        <f>MROW!B43*(C9*(C5/1000000))</f>
        <v>#REF!</v>
      </c>
      <c r="H20" s="101" t="e">
        <f>(C9*(C5/1000000))*RFCE!B43</f>
        <v>#REF!</v>
      </c>
    </row>
    <row r="23" spans="2:8" ht="37.5">
      <c r="B23" s="87" t="s">
        <v>101</v>
      </c>
      <c r="C23" s="323" t="s">
        <v>91</v>
      </c>
      <c r="D23" s="323"/>
      <c r="E23" s="323"/>
      <c r="F23" s="323"/>
      <c r="G23" s="323"/>
    </row>
    <row r="24" spans="2:8" ht="45">
      <c r="B24" s="88" t="s">
        <v>5</v>
      </c>
      <c r="C24" s="90" t="s">
        <v>93</v>
      </c>
      <c r="D24" s="91" t="s">
        <v>80</v>
      </c>
      <c r="E24" s="91" t="s">
        <v>81</v>
      </c>
      <c r="F24" s="91" t="s">
        <v>82</v>
      </c>
      <c r="G24" s="91" t="s">
        <v>83</v>
      </c>
      <c r="H24" s="90" t="s">
        <v>159</v>
      </c>
    </row>
    <row r="25" spans="2:8" ht="18.75">
      <c r="B25" s="97" t="s">
        <v>84</v>
      </c>
      <c r="C25" s="94" t="e">
        <f>MROE!B36*(C10*(C5/1000))</f>
        <v>#REF!</v>
      </c>
      <c r="D25" s="92" t="e">
        <f>RFCM!B37*(C10*(C5/1000))</f>
        <v>#REF!</v>
      </c>
      <c r="E25" s="92" t="e">
        <f>RFCW!B37*(C10*(C5/1000))</f>
        <v>#REF!</v>
      </c>
      <c r="F25" s="92" t="e">
        <f>NYUP!B37*(C10*(C5/1000))</f>
        <v>#REF!</v>
      </c>
      <c r="G25" s="92" t="e">
        <f>MROW!B37*(C10*(C5/1000))</f>
        <v>#REF!</v>
      </c>
      <c r="H25" s="94" t="e">
        <f>(C10*(C6/1000))*RFCE!B37</f>
        <v>#REF!</v>
      </c>
    </row>
    <row r="26" spans="2:8" ht="18.75">
      <c r="B26" s="97" t="s">
        <v>85</v>
      </c>
      <c r="C26" s="94" t="e">
        <f>MROE!B37*(C10*(C5/1000))</f>
        <v>#REF!</v>
      </c>
      <c r="D26" s="92" t="e">
        <f>RFCM!B38*(C10*(C5/1000))</f>
        <v>#REF!</v>
      </c>
      <c r="E26" s="92" t="e">
        <f>RFCW!B38*(C10*(C5/1000))</f>
        <v>#REF!</v>
      </c>
      <c r="F26" s="92" t="e">
        <f>NYUP!B38*(C10*(C5/1000))</f>
        <v>#REF!</v>
      </c>
      <c r="G26" s="92" t="e">
        <f>MROW!B38*(C10*(C5/1000))</f>
        <v>#REF!</v>
      </c>
      <c r="H26" s="94" t="e">
        <f>(C10*(C6/1000))*RFCE!B38</f>
        <v>#REF!</v>
      </c>
    </row>
    <row r="27" spans="2:8" ht="18.75">
      <c r="B27" s="97" t="s">
        <v>86</v>
      </c>
      <c r="C27" s="94" t="e">
        <f>MROE!B38*(C10*(C5/1000))</f>
        <v>#REF!</v>
      </c>
      <c r="D27" s="92" t="e">
        <f>RFCM!B39*(C10*(C5/1000))</f>
        <v>#REF!</v>
      </c>
      <c r="E27" s="92" t="e">
        <f>RFCW!B39*(C10*(C5/1000))</f>
        <v>#REF!</v>
      </c>
      <c r="F27" s="92" t="e">
        <f>NYUP!B39*(C10*(C5/1000))</f>
        <v>#REF!</v>
      </c>
      <c r="G27" s="92" t="e">
        <f>MROW!B39*(C10*(C5/1000))</f>
        <v>#REF!</v>
      </c>
      <c r="H27" s="94" t="e">
        <f>(C10*(C6/1000))*RFCE!B39</f>
        <v>#REF!</v>
      </c>
    </row>
    <row r="28" spans="2:8" ht="18.75">
      <c r="B28" s="97" t="s">
        <v>87</v>
      </c>
      <c r="C28" s="94" t="e">
        <f>MROE!B39*(C10*(C5/1000))</f>
        <v>#REF!</v>
      </c>
      <c r="D28" s="92" t="e">
        <f>RFCM!B40*(C10*(C5/1000))</f>
        <v>#REF!</v>
      </c>
      <c r="E28" s="92" t="e">
        <f>RFCW!B40*(C10*(C5/1000))</f>
        <v>#REF!</v>
      </c>
      <c r="F28" s="92" t="e">
        <f>NYUP!B40*(C10*(C5/1000))</f>
        <v>#REF!</v>
      </c>
      <c r="G28" s="92" t="e">
        <f>MROW!B40*(C10*(C5/1000))</f>
        <v>#REF!</v>
      </c>
      <c r="H28" s="94" t="e">
        <f>(C10*(C6/1000))*RFCE!B40</f>
        <v>#REF!</v>
      </c>
    </row>
    <row r="29" spans="2:8" ht="18.75">
      <c r="B29" s="97" t="s">
        <v>88</v>
      </c>
      <c r="C29" s="98" t="e">
        <f>MROE!B40*(C10*(C5/1000000))</f>
        <v>#REF!</v>
      </c>
      <c r="D29" s="101" t="e">
        <f>RFCM!B41*(C10*(C5/1000000))</f>
        <v>#REF!</v>
      </c>
      <c r="E29" s="101" t="e">
        <f>RFCW!B41*(C10*(C5/1000000))</f>
        <v>#REF!</v>
      </c>
      <c r="F29" s="101" t="e">
        <f>NYUP!B41*(C10*(C5/1000000))</f>
        <v>#REF!</v>
      </c>
      <c r="G29" s="101" t="e">
        <f>MROW!B41*(C10*(C5/1000000))</f>
        <v>#REF!</v>
      </c>
      <c r="H29" s="130" t="e">
        <f>(C10*(C6/1000000))*RFCE!B41</f>
        <v>#REF!</v>
      </c>
    </row>
    <row r="30" spans="2:8" ht="18.75">
      <c r="B30" s="97" t="s">
        <v>89</v>
      </c>
      <c r="C30" s="98" t="e">
        <f>MROE!B41*(C10*(C5/1000000))</f>
        <v>#REF!</v>
      </c>
      <c r="D30" s="101" t="e">
        <f>RFCM!B42*(C10*(C5/1000000))</f>
        <v>#REF!</v>
      </c>
      <c r="E30" s="101" t="e">
        <f>RFCW!B42*(C10*(C5/1000000))</f>
        <v>#REF!</v>
      </c>
      <c r="F30" s="101" t="e">
        <f>NYUP!B42*(C10*(C5/1000000))</f>
        <v>#REF!</v>
      </c>
      <c r="G30" s="101" t="e">
        <f>MROW!B42*(C10*(C5/1000000))</f>
        <v>#REF!</v>
      </c>
      <c r="H30" s="101" t="e">
        <f>(C10*(C6/1000000))*RFCE!B42</f>
        <v>#REF!</v>
      </c>
    </row>
    <row r="31" spans="2:8" ht="18.75">
      <c r="B31" s="97" t="s">
        <v>90</v>
      </c>
      <c r="C31" s="98" t="e">
        <f>MROE!B42*(C10*(C5/1000000))</f>
        <v>#REF!</v>
      </c>
      <c r="D31" s="101" t="e">
        <f>RFCM!B43*(C10*(C5/1000000))</f>
        <v>#REF!</v>
      </c>
      <c r="E31" s="101" t="e">
        <f>RFCW!B43*(C10*(C5/1000000))</f>
        <v>#REF!</v>
      </c>
      <c r="F31" s="101" t="e">
        <f>NYUP!B43*(C10*(C5/1000000))</f>
        <v>#REF!</v>
      </c>
      <c r="G31" s="101" t="e">
        <f>MROW!B43*(C10*(C5/1000000))</f>
        <v>#REF!</v>
      </c>
      <c r="H31" s="101" t="e">
        <f>(C10*(C6/1000000))*RFCE!B43</f>
        <v>#REF!</v>
      </c>
    </row>
    <row r="35" spans="2:8" ht="37.5">
      <c r="B35" s="103" t="s">
        <v>99</v>
      </c>
      <c r="C35" s="324" t="s">
        <v>91</v>
      </c>
      <c r="D35" s="324"/>
      <c r="E35" s="324"/>
      <c r="F35" s="324"/>
      <c r="G35" s="325"/>
      <c r="H35" s="117"/>
    </row>
    <row r="36" spans="2:8" ht="45">
      <c r="B36" s="104" t="s">
        <v>5</v>
      </c>
      <c r="C36" s="90" t="s">
        <v>93</v>
      </c>
      <c r="D36" s="91" t="s">
        <v>80</v>
      </c>
      <c r="E36" s="91" t="s">
        <v>81</v>
      </c>
      <c r="F36" s="91" t="s">
        <v>82</v>
      </c>
      <c r="G36" s="105" t="s">
        <v>83</v>
      </c>
      <c r="H36" s="90" t="s">
        <v>159</v>
      </c>
    </row>
    <row r="37" spans="2:8" ht="18.75">
      <c r="B37" s="106" t="s">
        <v>84</v>
      </c>
      <c r="C37" s="94" t="e">
        <f t="shared" ref="C37:H43" si="0">C14+C25</f>
        <v>#REF!</v>
      </c>
      <c r="D37" s="107" t="e">
        <f t="shared" si="0"/>
        <v>#REF!</v>
      </c>
      <c r="E37" s="107" t="e">
        <f t="shared" si="0"/>
        <v>#REF!</v>
      </c>
      <c r="F37" s="107" t="e">
        <f t="shared" si="0"/>
        <v>#REF!</v>
      </c>
      <c r="G37" s="108" t="e">
        <f t="shared" si="0"/>
        <v>#REF!</v>
      </c>
      <c r="H37" s="108" t="e">
        <f t="shared" si="0"/>
        <v>#REF!</v>
      </c>
    </row>
    <row r="38" spans="2:8" ht="18.75">
      <c r="B38" s="106" t="s">
        <v>85</v>
      </c>
      <c r="C38" s="94" t="e">
        <f t="shared" si="0"/>
        <v>#REF!</v>
      </c>
      <c r="D38" s="107" t="e">
        <f t="shared" si="0"/>
        <v>#REF!</v>
      </c>
      <c r="E38" s="107" t="e">
        <f t="shared" si="0"/>
        <v>#REF!</v>
      </c>
      <c r="F38" s="107" t="e">
        <f t="shared" si="0"/>
        <v>#REF!</v>
      </c>
      <c r="G38" s="108" t="e">
        <f t="shared" si="0"/>
        <v>#REF!</v>
      </c>
      <c r="H38" s="108" t="e">
        <f t="shared" si="0"/>
        <v>#REF!</v>
      </c>
    </row>
    <row r="39" spans="2:8" ht="18.75">
      <c r="B39" s="106" t="s">
        <v>86</v>
      </c>
      <c r="C39" s="94" t="e">
        <f t="shared" si="0"/>
        <v>#REF!</v>
      </c>
      <c r="D39" s="107" t="e">
        <f t="shared" si="0"/>
        <v>#REF!</v>
      </c>
      <c r="E39" s="107" t="e">
        <f t="shared" si="0"/>
        <v>#REF!</v>
      </c>
      <c r="F39" s="107" t="e">
        <f t="shared" si="0"/>
        <v>#REF!</v>
      </c>
      <c r="G39" s="108" t="e">
        <f t="shared" si="0"/>
        <v>#REF!</v>
      </c>
      <c r="H39" s="108" t="e">
        <f t="shared" si="0"/>
        <v>#REF!</v>
      </c>
    </row>
    <row r="40" spans="2:8" ht="18.75">
      <c r="B40" s="106" t="s">
        <v>87</v>
      </c>
      <c r="C40" s="94" t="e">
        <f t="shared" si="0"/>
        <v>#REF!</v>
      </c>
      <c r="D40" s="107" t="e">
        <f t="shared" si="0"/>
        <v>#REF!</v>
      </c>
      <c r="E40" s="107" t="e">
        <f t="shared" si="0"/>
        <v>#REF!</v>
      </c>
      <c r="F40" s="107" t="e">
        <f t="shared" si="0"/>
        <v>#REF!</v>
      </c>
      <c r="G40" s="108" t="e">
        <f t="shared" si="0"/>
        <v>#REF!</v>
      </c>
      <c r="H40" s="108" t="e">
        <f t="shared" si="0"/>
        <v>#REF!</v>
      </c>
    </row>
    <row r="41" spans="2:8" ht="18.75">
      <c r="B41" s="106" t="s">
        <v>88</v>
      </c>
      <c r="C41" s="95" t="e">
        <f t="shared" si="0"/>
        <v>#REF!</v>
      </c>
      <c r="D41" s="109" t="e">
        <f t="shared" si="0"/>
        <v>#REF!</v>
      </c>
      <c r="E41" s="109" t="e">
        <f t="shared" si="0"/>
        <v>#REF!</v>
      </c>
      <c r="F41" s="109" t="e">
        <f t="shared" si="0"/>
        <v>#REF!</v>
      </c>
      <c r="G41" s="110" t="e">
        <f t="shared" si="0"/>
        <v>#REF!</v>
      </c>
      <c r="H41" s="110" t="e">
        <f t="shared" si="0"/>
        <v>#REF!</v>
      </c>
    </row>
    <row r="42" spans="2:8" ht="18.75">
      <c r="B42" s="106" t="s">
        <v>89</v>
      </c>
      <c r="C42" s="96" t="e">
        <f t="shared" si="0"/>
        <v>#REF!</v>
      </c>
      <c r="D42" s="111" t="e">
        <f t="shared" si="0"/>
        <v>#REF!</v>
      </c>
      <c r="E42" s="111" t="e">
        <f t="shared" si="0"/>
        <v>#REF!</v>
      </c>
      <c r="F42" s="111" t="e">
        <f t="shared" si="0"/>
        <v>#REF!</v>
      </c>
      <c r="G42" s="112" t="e">
        <f t="shared" si="0"/>
        <v>#REF!</v>
      </c>
      <c r="H42" s="112" t="e">
        <f t="shared" si="0"/>
        <v>#REF!</v>
      </c>
    </row>
    <row r="43" spans="2:8" ht="18.75">
      <c r="B43" s="113" t="s">
        <v>90</v>
      </c>
      <c r="C43" s="114" t="e">
        <f t="shared" si="0"/>
        <v>#REF!</v>
      </c>
      <c r="D43" s="115" t="e">
        <f t="shared" si="0"/>
        <v>#REF!</v>
      </c>
      <c r="E43" s="115" t="e">
        <f t="shared" si="0"/>
        <v>#REF!</v>
      </c>
      <c r="F43" s="115" t="e">
        <f t="shared" si="0"/>
        <v>#REF!</v>
      </c>
      <c r="G43" s="116" t="e">
        <f t="shared" si="0"/>
        <v>#REF!</v>
      </c>
      <c r="H43" s="116" t="e">
        <f t="shared" si="0"/>
        <v>#REF!</v>
      </c>
    </row>
    <row r="46" spans="2:8">
      <c r="B46" s="122" t="s">
        <v>107</v>
      </c>
      <c r="C46" s="124" t="e">
        <f>C37/2204.6</f>
        <v>#REF!</v>
      </c>
      <c r="D46" s="124" t="e">
        <f>D37/2204.6</f>
        <v>#REF!</v>
      </c>
      <c r="E46" s="124" t="e">
        <f>E37/2204.6</f>
        <v>#REF!</v>
      </c>
      <c r="F46" s="63" t="e">
        <f>F37/2204.6</f>
        <v>#REF!</v>
      </c>
      <c r="G46" s="63" t="e">
        <f>G37/2204.6</f>
        <v>#REF!</v>
      </c>
    </row>
    <row r="47" spans="2:8" ht="45">
      <c r="B47" s="121" t="s">
        <v>102</v>
      </c>
      <c r="C47" s="90" t="s">
        <v>93</v>
      </c>
      <c r="D47" s="91" t="s">
        <v>80</v>
      </c>
      <c r="E47" s="91" t="s">
        <v>81</v>
      </c>
      <c r="F47" s="91" t="s">
        <v>82</v>
      </c>
      <c r="G47" s="105" t="s">
        <v>83</v>
      </c>
    </row>
    <row r="48" spans="2:8">
      <c r="B48" s="120">
        <v>0.1</v>
      </c>
      <c r="C48" s="123" t="e">
        <f>B48*C46</f>
        <v>#REF!</v>
      </c>
      <c r="D48" s="123" t="e">
        <f>D46*B48</f>
        <v>#REF!</v>
      </c>
      <c r="E48" s="123" t="e">
        <f>E46*B48</f>
        <v>#REF!</v>
      </c>
      <c r="F48" s="123" t="e">
        <f>F46*B48</f>
        <v>#REF!</v>
      </c>
      <c r="G48" s="123" t="e">
        <f>G46*B48</f>
        <v>#REF!</v>
      </c>
    </row>
    <row r="49" spans="2:7">
      <c r="B49" s="120">
        <v>0.25</v>
      </c>
      <c r="C49" s="123" t="e">
        <f>C46*B49</f>
        <v>#REF!</v>
      </c>
      <c r="D49" s="123" t="e">
        <f>D46*B49</f>
        <v>#REF!</v>
      </c>
      <c r="E49" s="123" t="e">
        <f>E46*B49</f>
        <v>#REF!</v>
      </c>
      <c r="F49" s="123" t="e">
        <f>F46*B49</f>
        <v>#REF!</v>
      </c>
      <c r="G49" s="123" t="e">
        <f>G46*B49</f>
        <v>#REF!</v>
      </c>
    </row>
    <row r="50" spans="2:7">
      <c r="B50" s="120">
        <v>1</v>
      </c>
      <c r="C50" s="123" t="e">
        <f>C46*B50</f>
        <v>#REF!</v>
      </c>
      <c r="D50" s="123" t="e">
        <f>D46*B50</f>
        <v>#REF!</v>
      </c>
      <c r="E50" s="123" t="e">
        <f>E46*B50</f>
        <v>#REF!</v>
      </c>
      <c r="F50" s="123" t="e">
        <f>F46*B50</f>
        <v>#REF!</v>
      </c>
      <c r="G50" s="123" t="e">
        <f>G46*B50</f>
        <v>#REF!</v>
      </c>
    </row>
    <row r="51" spans="2:7">
      <c r="B51" s="120">
        <v>2</v>
      </c>
      <c r="C51" s="123" t="e">
        <f>C46*B51</f>
        <v>#REF!</v>
      </c>
      <c r="D51" s="123" t="e">
        <f>D46*B51</f>
        <v>#REF!</v>
      </c>
      <c r="E51" s="123" t="e">
        <f>E46*B51</f>
        <v>#REF!</v>
      </c>
      <c r="F51" s="123" t="e">
        <f>F46*B51</f>
        <v>#REF!</v>
      </c>
      <c r="G51" s="123" t="e">
        <f>G46*B51</f>
        <v>#REF!</v>
      </c>
    </row>
    <row r="52" spans="2:7">
      <c r="B52" s="120">
        <v>5</v>
      </c>
      <c r="C52" s="123" t="e">
        <f>C46*B52</f>
        <v>#REF!</v>
      </c>
      <c r="D52" s="123" t="e">
        <f>D46*B52</f>
        <v>#REF!</v>
      </c>
      <c r="E52" s="123" t="e">
        <f>E46*B52</f>
        <v>#REF!</v>
      </c>
      <c r="F52" s="123" t="e">
        <f>F46*B52</f>
        <v>#REF!</v>
      </c>
      <c r="G52" s="123" t="e">
        <f>G46*B52</f>
        <v>#REF!</v>
      </c>
    </row>
    <row r="53" spans="2:7">
      <c r="B53" s="120">
        <v>7.5</v>
      </c>
      <c r="C53" s="123" t="e">
        <f>C46*B53</f>
        <v>#REF!</v>
      </c>
      <c r="D53" s="123" t="e">
        <f>D46*B53</f>
        <v>#REF!</v>
      </c>
      <c r="E53" s="123" t="e">
        <f>E46*B53</f>
        <v>#REF!</v>
      </c>
      <c r="F53" s="123" t="e">
        <f>F46*B53</f>
        <v>#REF!</v>
      </c>
      <c r="G53" s="123" t="e">
        <f>G46*B53</f>
        <v>#REF!</v>
      </c>
    </row>
    <row r="54" spans="2:7">
      <c r="B54" s="120">
        <v>10</v>
      </c>
      <c r="C54" s="123" t="e">
        <f>C46*B54</f>
        <v>#REF!</v>
      </c>
      <c r="D54" s="123" t="e">
        <f>D46*B54</f>
        <v>#REF!</v>
      </c>
      <c r="E54" s="123" t="e">
        <f>E46*B54</f>
        <v>#REF!</v>
      </c>
      <c r="F54" s="123" t="e">
        <f>F46*B54</f>
        <v>#REF!</v>
      </c>
      <c r="G54" s="123" t="e">
        <f>G46*B54</f>
        <v>#REF!</v>
      </c>
    </row>
    <row r="55" spans="2:7">
      <c r="B55" s="120">
        <v>15</v>
      </c>
      <c r="C55" s="123" t="e">
        <f>C46*B55</f>
        <v>#REF!</v>
      </c>
      <c r="D55" s="123" t="e">
        <f>D46*B55</f>
        <v>#REF!</v>
      </c>
      <c r="E55" s="123" t="e">
        <f>E46*B55</f>
        <v>#REF!</v>
      </c>
      <c r="F55" s="123" t="e">
        <f>F46*B55</f>
        <v>#REF!</v>
      </c>
      <c r="G55" s="123" t="e">
        <f>G46*B55</f>
        <v>#REF!</v>
      </c>
    </row>
    <row r="56" spans="2:7">
      <c r="B56" s="120">
        <v>20</v>
      </c>
      <c r="C56" s="123" t="e">
        <f>C46*B56</f>
        <v>#REF!</v>
      </c>
      <c r="D56" s="123" t="e">
        <f>D46*B56</f>
        <v>#REF!</v>
      </c>
      <c r="E56" s="123" t="e">
        <f>E46*B56</f>
        <v>#REF!</v>
      </c>
      <c r="F56" s="123" t="e">
        <f>F46*B56</f>
        <v>#REF!</v>
      </c>
      <c r="G56" s="123" t="e">
        <f>G46*B56</f>
        <v>#REF!</v>
      </c>
    </row>
    <row r="57" spans="2:7">
      <c r="B57" s="120">
        <v>25</v>
      </c>
      <c r="C57" s="123" t="e">
        <f>C46*B57</f>
        <v>#REF!</v>
      </c>
      <c r="D57" s="123" t="e">
        <f>D46*B57</f>
        <v>#REF!</v>
      </c>
      <c r="E57" s="123" t="e">
        <f>E46*B57</f>
        <v>#REF!</v>
      </c>
      <c r="F57" s="123" t="e">
        <f>F46*B57</f>
        <v>#REF!</v>
      </c>
      <c r="G57" s="123" t="e">
        <f>G46*B57</f>
        <v>#REF!</v>
      </c>
    </row>
    <row r="58" spans="2:7">
      <c r="B58" s="120">
        <v>30</v>
      </c>
      <c r="C58" s="123" t="e">
        <f>C46*B58</f>
        <v>#REF!</v>
      </c>
      <c r="D58" s="123" t="e">
        <f>D46*B58</f>
        <v>#REF!</v>
      </c>
      <c r="E58" s="123" t="e">
        <f>E46*B58</f>
        <v>#REF!</v>
      </c>
      <c r="F58" s="123" t="e">
        <f>F46*B58</f>
        <v>#REF!</v>
      </c>
      <c r="G58" s="123" t="e">
        <f>G46*B58</f>
        <v>#REF!</v>
      </c>
    </row>
    <row r="59" spans="2:7">
      <c r="B59" s="120">
        <v>35</v>
      </c>
      <c r="C59" s="123" t="e">
        <f>C46*B59</f>
        <v>#REF!</v>
      </c>
      <c r="D59" s="123" t="e">
        <f>D46*B59</f>
        <v>#REF!</v>
      </c>
      <c r="E59" s="123" t="e">
        <f>E46*B59</f>
        <v>#REF!</v>
      </c>
      <c r="F59" s="123" t="e">
        <f>F46*B59</f>
        <v>#REF!</v>
      </c>
      <c r="G59" s="123" t="e">
        <f>G46*B59</f>
        <v>#REF!</v>
      </c>
    </row>
    <row r="60" spans="2:7">
      <c r="B60" s="120">
        <v>40</v>
      </c>
      <c r="C60" s="123" t="e">
        <f>C46*B60</f>
        <v>#REF!</v>
      </c>
      <c r="D60" s="123" t="e">
        <f>D46*B60</f>
        <v>#REF!</v>
      </c>
      <c r="E60" s="123" t="e">
        <f>E46*B60</f>
        <v>#REF!</v>
      </c>
      <c r="F60" s="123" t="e">
        <f>F46*B60</f>
        <v>#REF!</v>
      </c>
      <c r="G60" s="123" t="e">
        <f>G46*B60</f>
        <v>#REF!</v>
      </c>
    </row>
    <row r="61" spans="2:7">
      <c r="B61" s="120">
        <v>45</v>
      </c>
      <c r="C61" s="123" t="e">
        <f>C46*B61</f>
        <v>#REF!</v>
      </c>
      <c r="D61" s="123" t="e">
        <f>D46*B61</f>
        <v>#REF!</v>
      </c>
      <c r="E61" s="123" t="e">
        <f>E46*B61</f>
        <v>#REF!</v>
      </c>
      <c r="F61" s="123" t="e">
        <f>F46*B61</f>
        <v>#REF!</v>
      </c>
      <c r="G61" s="123" t="e">
        <f>G46*B61</f>
        <v>#REF!</v>
      </c>
    </row>
    <row r="62" spans="2:7">
      <c r="B62" s="120">
        <v>50</v>
      </c>
      <c r="C62" s="123" t="e">
        <f>C46*B62</f>
        <v>#REF!</v>
      </c>
      <c r="D62" s="123" t="e">
        <f>D46*B62</f>
        <v>#REF!</v>
      </c>
      <c r="E62" s="123" t="e">
        <f>E46*B62</f>
        <v>#REF!</v>
      </c>
      <c r="F62" s="123" t="e">
        <f>F46*B62</f>
        <v>#REF!</v>
      </c>
      <c r="G62" s="123" t="e">
        <f>G46*B62</f>
        <v>#REF!</v>
      </c>
    </row>
  </sheetData>
  <mergeCells count="4">
    <mergeCell ref="C3:E3"/>
    <mergeCell ref="C12:G12"/>
    <mergeCell ref="C23:G23"/>
    <mergeCell ref="C35:G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3"/>
  <dimension ref="A2:B33"/>
  <sheetViews>
    <sheetView topLeftCell="A4" workbookViewId="0">
      <selection activeCell="A4" sqref="A4"/>
    </sheetView>
  </sheetViews>
  <sheetFormatPr defaultRowHeight="15"/>
  <cols>
    <col min="1" max="1" width="64.7109375" customWidth="1"/>
    <col min="2" max="2" width="18.42578125" customWidth="1"/>
  </cols>
  <sheetData>
    <row r="2" spans="1:2" ht="17.25">
      <c r="A2" s="294" t="s">
        <v>129</v>
      </c>
    </row>
    <row r="3" spans="1:2" ht="17.25">
      <c r="A3" s="294"/>
    </row>
    <row r="4" spans="1:2" ht="26.25">
      <c r="A4" s="236" t="s">
        <v>305</v>
      </c>
      <c r="B4" s="249" t="s">
        <v>304</v>
      </c>
    </row>
    <row r="5" spans="1:2" ht="18" thickBot="1">
      <c r="A5" s="212" t="s">
        <v>284</v>
      </c>
      <c r="B5" s="143"/>
    </row>
    <row r="6" spans="1:2" ht="18" thickBot="1">
      <c r="A6" s="317"/>
      <c r="B6" s="143"/>
    </row>
    <row r="7" spans="1:2" ht="17.25">
      <c r="A7" s="143"/>
    </row>
    <row r="8" spans="1:2" ht="17.25">
      <c r="A8" s="143" t="s">
        <v>242</v>
      </c>
    </row>
    <row r="9" spans="1:2" ht="15.75" thickBot="1">
      <c r="A9" s="147" t="s">
        <v>133</v>
      </c>
      <c r="B9" s="152"/>
    </row>
    <row r="10" spans="1:2" ht="18" customHeight="1" thickBot="1">
      <c r="A10" s="150" t="s">
        <v>262</v>
      </c>
      <c r="B10" s="312" t="s">
        <v>132</v>
      </c>
    </row>
    <row r="11" spans="1:2" ht="15.75" thickBot="1">
      <c r="A11" s="149" t="s">
        <v>130</v>
      </c>
      <c r="B11" s="313"/>
    </row>
    <row r="12" spans="1:2" ht="15.75" thickBot="1">
      <c r="A12" s="151" t="s">
        <v>113</v>
      </c>
      <c r="B12" s="314"/>
    </row>
    <row r="13" spans="1:2" ht="15.75" thickBot="1">
      <c r="A13" s="145" t="s">
        <v>114</v>
      </c>
      <c r="B13" s="315"/>
    </row>
    <row r="14" spans="1:2" ht="29.25" thickBot="1">
      <c r="A14" s="144" t="s">
        <v>351</v>
      </c>
      <c r="B14" s="314"/>
    </row>
    <row r="15" spans="1:2" ht="15.75" thickBot="1">
      <c r="A15" s="145" t="s">
        <v>347</v>
      </c>
      <c r="B15" s="314"/>
    </row>
    <row r="16" spans="1:2" ht="15.75" thickBot="1">
      <c r="A16" s="148" t="s">
        <v>348</v>
      </c>
      <c r="B16" s="314"/>
    </row>
    <row r="17" spans="1:2" ht="15.75" thickBot="1">
      <c r="A17" s="149" t="s">
        <v>111</v>
      </c>
      <c r="B17" s="313"/>
    </row>
    <row r="18" spans="1:2" ht="16.5" customHeight="1" thickBot="1">
      <c r="A18" s="296" t="s">
        <v>163</v>
      </c>
      <c r="B18" s="314"/>
    </row>
    <row r="19" spans="1:2" ht="18" customHeight="1" thickBot="1">
      <c r="A19" s="144" t="s">
        <v>138</v>
      </c>
      <c r="B19" s="314"/>
    </row>
    <row r="20" spans="1:2" ht="17.25" customHeight="1" thickBot="1">
      <c r="A20" s="215" t="s">
        <v>135</v>
      </c>
      <c r="B20" s="316"/>
    </row>
    <row r="21" spans="1:2" ht="16.5" customHeight="1" thickBot="1">
      <c r="A21" s="216" t="s">
        <v>134</v>
      </c>
      <c r="B21" s="316"/>
    </row>
    <row r="22" spans="1:2" ht="16.5" customHeight="1"/>
    <row r="23" spans="1:2" ht="40.5" customHeight="1">
      <c r="B23" s="248" t="s">
        <v>315</v>
      </c>
    </row>
    <row r="24" spans="1:2" ht="20.25" customHeight="1"/>
    <row r="25" spans="1:2" ht="19.5" customHeight="1"/>
    <row r="26" spans="1:2" ht="16.5" customHeight="1"/>
    <row r="28" spans="1:2" ht="16.5" customHeight="1"/>
    <row r="31" spans="1:2" ht="18" customHeight="1"/>
    <row r="32" spans="1:2" ht="18" customHeight="1"/>
    <row r="33" ht="19.5" customHeight="1"/>
  </sheetData>
  <sheetProtection password="8197" sheet="1" objects="1" scenarios="1"/>
  <conditionalFormatting sqref="B9:B21">
    <cfRule type="expression" dxfId="8" priority="2">
      <formula>ISERROR($B$9:$B$24)</formula>
    </cfRule>
  </conditionalFormatting>
  <dataValidations count="4">
    <dataValidation allowBlank="1" showInputMessage="1" showErrorMessage="1" promptTitle="Water electric rates" prompt="It can sometimes be difficult for utilities to identify the amount of water pumped at peak or non-peak electrical rates.  For simplicty, please input the average electrical rate charged per kWH by the local electric utility." sqref="B20"/>
    <dataValidation allowBlank="1" showInputMessage="1" showErrorMessage="1" promptTitle="Wastewater electric rates" prompt="It can sometimes be difficult for utilities to identify the amount of water pumped at peak or non-peak electrical rates.  For simplicty, please input the average electrical rate charged per kWH by the local electric utility." sqref="B21"/>
    <dataValidation type="list" allowBlank="1" showInputMessage="1" showErrorMessage="1" promptTitle="eGRID Subregions" sqref="B10">
      <formula1>eGRID1</formula1>
    </dataValidation>
    <dataValidation allowBlank="1" showInputMessage="1" showErrorMessage="1" promptTitle="eGRID" prompt="The Emissions &amp; Generation Resource Integrated Database (eGRID) is a comprehensive source of data on the environmental characteristics of almost all electric power generated in the United States. More info found at: http://cfpub.epa.gov/egridweb/index.cfm" sqref="A10"/>
  </dataValidations>
  <hyperlinks>
    <hyperlink ref="A4" location="Overview!A1" display="Return to Overview Page"/>
    <hyperlink ref="B4" location="Overview!A1" display="Return to Overview Page"/>
    <hyperlink ref="B23" location="'A-Input Conservation Options'!B6" display="Go to &quot;Input Conservation Options&quot; Worksheet"/>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sheetPr codeName="Sheet18"/>
  <dimension ref="A1:E34"/>
  <sheetViews>
    <sheetView topLeftCell="A18" workbookViewId="0"/>
  </sheetViews>
  <sheetFormatPr defaultRowHeight="15"/>
  <cols>
    <col min="2" max="2" width="21.140625" customWidth="1"/>
    <col min="3" max="3" width="23.140625" customWidth="1"/>
    <col min="5" max="5" width="20" customWidth="1"/>
  </cols>
  <sheetData>
    <row r="1" spans="1:5" ht="17.25">
      <c r="C1" s="143" t="s">
        <v>172</v>
      </c>
    </row>
    <row r="2" spans="1:5" ht="17.25">
      <c r="A2" s="236" t="s">
        <v>305</v>
      </c>
      <c r="C2" s="143" t="s">
        <v>308</v>
      </c>
    </row>
    <row r="3" spans="1:5" ht="17.25">
      <c r="A3" s="236"/>
      <c r="C3" s="143"/>
      <c r="E3" s="247" t="s">
        <v>304</v>
      </c>
    </row>
    <row r="4" spans="1:5" ht="15.75">
      <c r="B4" s="159" t="s">
        <v>172</v>
      </c>
      <c r="C4" s="159"/>
    </row>
    <row r="5" spans="1:5" ht="15.75">
      <c r="B5" s="159" t="s">
        <v>173</v>
      </c>
      <c r="C5" s="159"/>
    </row>
    <row r="6" spans="1:5">
      <c r="B6" s="180" t="s">
        <v>102</v>
      </c>
      <c r="C6" s="180" t="s">
        <v>171</v>
      </c>
    </row>
    <row r="7" spans="1:5">
      <c r="B7" s="178">
        <v>0.05</v>
      </c>
      <c r="C7" s="177">
        <f>('A-Output-Emissions Impacts'!B67/2000)*B7</f>
        <v>0</v>
      </c>
    </row>
    <row r="8" spans="1:5">
      <c r="B8" s="178">
        <v>0.25</v>
      </c>
      <c r="C8" s="177">
        <f>('A-Output-Emissions Impacts'!B67/2000)*B8</f>
        <v>0</v>
      </c>
    </row>
    <row r="9" spans="1:5">
      <c r="B9" s="179">
        <v>1</v>
      </c>
      <c r="C9" s="177">
        <f>('A-Output-Emissions Impacts'!B67/2000)*B9</f>
        <v>0</v>
      </c>
    </row>
    <row r="10" spans="1:5">
      <c r="B10" s="179">
        <v>5</v>
      </c>
      <c r="C10" s="177">
        <f>('A-Output-Emissions Impacts'!B67/2000)*B10</f>
        <v>0</v>
      </c>
    </row>
    <row r="11" spans="1:5">
      <c r="B11" s="179">
        <v>10</v>
      </c>
      <c r="C11" s="177">
        <f>('A-Output-Emissions Impacts'!B67/2000)*B11</f>
        <v>0</v>
      </c>
    </row>
    <row r="12" spans="1:5">
      <c r="B12" s="179">
        <v>15</v>
      </c>
      <c r="C12" s="177">
        <f>('A-Output-Emissions Impacts'!B67/2000)*B12</f>
        <v>0</v>
      </c>
    </row>
    <row r="13" spans="1:5">
      <c r="B13" s="179">
        <v>20</v>
      </c>
      <c r="C13" s="177">
        <f>('A-Output-Emissions Impacts'!B67/2000)*B13</f>
        <v>0</v>
      </c>
    </row>
    <row r="14" spans="1:5">
      <c r="B14" s="179">
        <v>25</v>
      </c>
      <c r="C14" s="177">
        <f>('A-Output-Emissions Impacts'!B67/2000)*B14</f>
        <v>0</v>
      </c>
    </row>
    <row r="15" spans="1:5">
      <c r="B15" s="179">
        <v>30</v>
      </c>
      <c r="C15" s="177">
        <f>('A-Output-Emissions Impacts'!B67/2000)*B15</f>
        <v>0</v>
      </c>
    </row>
    <row r="16" spans="1:5">
      <c r="B16" s="179">
        <v>35</v>
      </c>
      <c r="C16" s="177">
        <f>('A-Output-Emissions Impacts'!B67/2000)*B16</f>
        <v>0</v>
      </c>
    </row>
    <row r="34" spans="5:5" ht="26.25" customHeight="1">
      <c r="E34" s="248" t="s">
        <v>321</v>
      </c>
    </row>
  </sheetData>
  <sheetProtection password="8197" sheet="1" objects="1" scenarios="1"/>
  <hyperlinks>
    <hyperlink ref="A2" location="Overview!A1" display="Return to Overview Page"/>
    <hyperlink ref="E3" location="Overview!A1" display="Return to Overview Page"/>
    <hyperlink ref="E34" location="'A-Output-Emissions Impacts'!A1" display="Return to 'A-Output-Emissions Impacts'"/>
  </hyperlinks>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sheetPr codeName="Sheet19"/>
  <dimension ref="A1:T98"/>
  <sheetViews>
    <sheetView topLeftCell="A4" workbookViewId="0">
      <selection activeCell="C15" sqref="C15"/>
    </sheetView>
  </sheetViews>
  <sheetFormatPr defaultRowHeight="15"/>
  <cols>
    <col min="2" max="2" width="34.28515625" customWidth="1"/>
    <col min="3" max="3" width="15.42578125" customWidth="1"/>
    <col min="4" max="4" width="15.140625" customWidth="1"/>
    <col min="5" max="5" width="14.28515625" customWidth="1"/>
    <col min="6" max="6" width="14.5703125" customWidth="1"/>
    <col min="7" max="7" width="16" customWidth="1"/>
    <col min="8" max="8" width="17.85546875" bestFit="1" customWidth="1"/>
    <col min="9" max="11" width="11.5703125" bestFit="1" customWidth="1"/>
    <col min="12" max="12" width="10.5703125" bestFit="1" customWidth="1"/>
    <col min="13" max="13" width="11.85546875" bestFit="1" customWidth="1"/>
    <col min="15" max="15" width="24.42578125" bestFit="1" customWidth="1"/>
    <col min="16" max="16" width="11.5703125" bestFit="1" customWidth="1"/>
    <col min="17" max="17" width="16" bestFit="1" customWidth="1"/>
    <col min="18" max="18" width="13.140625" customWidth="1"/>
    <col min="19" max="19" width="11" bestFit="1" customWidth="1"/>
    <col min="20" max="20" width="11.85546875" bestFit="1" customWidth="1"/>
  </cols>
  <sheetData>
    <row r="1" spans="1:20">
      <c r="D1" s="118" t="s">
        <v>92</v>
      </c>
    </row>
    <row r="2" spans="1:20">
      <c r="B2" s="75"/>
      <c r="D2" s="75"/>
    </row>
    <row r="3" spans="1:20">
      <c r="B3" s="75" t="s">
        <v>309</v>
      </c>
      <c r="D3" s="75"/>
    </row>
    <row r="4" spans="1:20">
      <c r="B4" s="75"/>
      <c r="D4" s="75"/>
    </row>
    <row r="5" spans="1:20">
      <c r="B5" s="75"/>
    </row>
    <row r="6" spans="1:20">
      <c r="C6" s="322" t="s">
        <v>79</v>
      </c>
      <c r="D6" s="322"/>
      <c r="E6" s="322"/>
      <c r="F6" s="80"/>
      <c r="G6" s="127"/>
    </row>
    <row r="7" spans="1:20" ht="63" customHeight="1">
      <c r="B7" s="128" t="s">
        <v>97</v>
      </c>
      <c r="C7" s="329" t="s">
        <v>98</v>
      </c>
      <c r="D7" s="329"/>
      <c r="E7" s="329"/>
      <c r="F7" s="329"/>
      <c r="H7" s="197" t="s">
        <v>109</v>
      </c>
      <c r="I7" s="328" t="s">
        <v>209</v>
      </c>
      <c r="J7" s="328"/>
      <c r="K7" s="328"/>
      <c r="L7" s="328"/>
      <c r="M7" s="328"/>
      <c r="N7" s="38"/>
      <c r="O7" s="196" t="s">
        <v>202</v>
      </c>
      <c r="P7" s="328" t="s">
        <v>208</v>
      </c>
      <c r="Q7" s="328"/>
      <c r="R7" s="328"/>
      <c r="S7" s="328"/>
      <c r="T7" s="328"/>
    </row>
    <row r="8" spans="1:20" ht="90.75">
      <c r="B8" s="128"/>
      <c r="C8" s="86">
        <v>2006</v>
      </c>
      <c r="D8" s="86">
        <v>2007</v>
      </c>
      <c r="E8" s="86">
        <v>2008</v>
      </c>
      <c r="F8" s="86">
        <v>2009</v>
      </c>
      <c r="H8" s="88" t="s">
        <v>5</v>
      </c>
      <c r="I8" s="90" t="s">
        <v>93</v>
      </c>
      <c r="J8" s="90" t="s">
        <v>80</v>
      </c>
      <c r="K8" s="90" t="s">
        <v>81</v>
      </c>
      <c r="L8" s="90" t="s">
        <v>82</v>
      </c>
      <c r="M8" s="90" t="s">
        <v>83</v>
      </c>
      <c r="O8" s="88" t="s">
        <v>5</v>
      </c>
      <c r="P8" s="90" t="s">
        <v>93</v>
      </c>
      <c r="Q8" s="91" t="s">
        <v>80</v>
      </c>
      <c r="R8" s="91" t="s">
        <v>81</v>
      </c>
      <c r="S8" s="91" t="s">
        <v>82</v>
      </c>
      <c r="T8" s="91" t="s">
        <v>83</v>
      </c>
    </row>
    <row r="9" spans="1:20" ht="18.75">
      <c r="A9" s="75"/>
      <c r="B9" s="85" t="s">
        <v>95</v>
      </c>
      <c r="C9" s="198" t="str">
        <f>IF('C-Input-Annual Water Use'!C7=0,"0",'C-Input-Annual Water Use'!C19/('C-Input-Annual Water Use'!C7/1000000))</f>
        <v>0</v>
      </c>
      <c r="D9" s="198" t="str">
        <f>IF('C-Input-Annual Water Use'!C8=0,"0",'C-Input-Annual Water Use'!C20/('C-Input-Annual Water Use'!C8/1000000))</f>
        <v>0</v>
      </c>
      <c r="E9" s="198" t="str">
        <f>IF('C-Input-Annual Water Use'!C9=0,"0",'C-Input-Annual Water Use'!C21/('C-Input-Annual Water Use'!C9/1000000))</f>
        <v>0</v>
      </c>
      <c r="F9" s="198" t="str">
        <f>IF('C-Input-Annual Water Use'!C10=0,"0",'C-Input-Annual Water Use'!C22/('C-Input-Annual Water Use'!C10/1000000))</f>
        <v>0</v>
      </c>
      <c r="G9" s="120"/>
      <c r="H9" s="97" t="s">
        <v>84</v>
      </c>
      <c r="I9" s="94">
        <f>(C14*(C9/1000))*MROE!D9</f>
        <v>0</v>
      </c>
      <c r="J9" s="94">
        <f>(C14*(C9/1000))*RFCM!D9</f>
        <v>0</v>
      </c>
      <c r="K9" s="94">
        <f>(C14*(C9/1000))*RFCW!D9</f>
        <v>0</v>
      </c>
      <c r="L9" s="94">
        <f>(C14*(C9/1000))*NYUP!D9</f>
        <v>0</v>
      </c>
      <c r="M9" s="94">
        <f>(C14*(C9/1000))*MROW!D9</f>
        <v>0</v>
      </c>
      <c r="O9" s="97" t="s">
        <v>84</v>
      </c>
      <c r="P9" s="94">
        <f>(C15*(C10/1000))*MROE!D9</f>
        <v>0</v>
      </c>
      <c r="Q9" s="94">
        <f>(C15*(C10/1000))*RFCM!D9</f>
        <v>0</v>
      </c>
      <c r="R9" s="94">
        <f>(C15*(C10/1000))*RFCW!D9</f>
        <v>0</v>
      </c>
      <c r="S9" s="94">
        <f>(C15*(C10/1000))*NYUP!D9</f>
        <v>0</v>
      </c>
      <c r="T9" s="94">
        <f>(C15*(C10/1000))*MROW!D9</f>
        <v>0</v>
      </c>
    </row>
    <row r="10" spans="1:20" ht="18.75">
      <c r="A10" s="75"/>
      <c r="B10" s="84" t="s">
        <v>96</v>
      </c>
      <c r="C10" s="198" t="str">
        <f>IF('C-Input-Annual Water Use'!C13=0,"0",'C-Input-Annual Water Use'!C25/('C-Input-Annual Water Use'!C13/1000000))</f>
        <v>0</v>
      </c>
      <c r="D10" s="198" t="str">
        <f>IF('C-Input-Annual Water Use'!C14=0,"0",'C-Input-Annual Water Use'!C26/('C-Input-Annual Water Use'!C14/1000000))</f>
        <v>0</v>
      </c>
      <c r="E10" s="198" t="str">
        <f>IF('C-Input-Annual Water Use'!C15=0,"0",'C-Input-Annual Water Use'!C27/('C-Input-Annual Water Use'!C15/1000000))</f>
        <v>0</v>
      </c>
      <c r="F10" s="198" t="str">
        <f>IF('C-Input-Annual Water Use'!C16=0,"0",'C-Input-Annual Water Use'!C28/('C-Input-Annual Water Use'!C16/1000000))</f>
        <v>0</v>
      </c>
      <c r="G10" s="120"/>
      <c r="H10" s="97" t="s">
        <v>85</v>
      </c>
      <c r="I10" s="94">
        <f>(C14*(C9/1000))*MROE!D10</f>
        <v>0</v>
      </c>
      <c r="J10" s="94">
        <f>(C14*(C9/1000))*RFCM!D10</f>
        <v>0</v>
      </c>
      <c r="K10" s="94">
        <f>(C14*(C9/1000))*RFCW!D10</f>
        <v>0</v>
      </c>
      <c r="L10" s="94">
        <f>(C14*(C9/1000))*NYUP!D10</f>
        <v>0</v>
      </c>
      <c r="M10" s="94">
        <f>(C14*(C9/1000))*MROW!D10</f>
        <v>0</v>
      </c>
      <c r="O10" s="97" t="s">
        <v>85</v>
      </c>
      <c r="P10" s="94">
        <f>(C15*(C10/1000))*MROE!D10</f>
        <v>0</v>
      </c>
      <c r="Q10" s="94">
        <f>(C15*(C10/1000))*RFCM!D10</f>
        <v>0</v>
      </c>
      <c r="R10" s="94">
        <f>(C15*(C10/1000))*RFCW!D10</f>
        <v>0</v>
      </c>
      <c r="S10" s="94">
        <f>(C15*(C10/1000))*NYUP!D10</f>
        <v>0</v>
      </c>
      <c r="T10" s="94">
        <f>(C15*(C10/1000))*MROW!D10</f>
        <v>0</v>
      </c>
    </row>
    <row r="11" spans="1:20" ht="18.75">
      <c r="A11" s="75"/>
      <c r="C11" s="127"/>
      <c r="D11" s="127"/>
      <c r="E11" s="127"/>
      <c r="F11" s="127"/>
      <c r="H11" s="97" t="s">
        <v>86</v>
      </c>
      <c r="I11" s="94">
        <f>(C14*(C9/1000))*MROE!D11</f>
        <v>0</v>
      </c>
      <c r="J11" s="94">
        <f>(C14*(C9/1000))*RFCM!D11</f>
        <v>0</v>
      </c>
      <c r="K11" s="94">
        <f>(C14*(C9/1000))*RFCW!D11</f>
        <v>0</v>
      </c>
      <c r="L11" s="94">
        <f>(C14*(C9/1000))*NYUP!D11</f>
        <v>0</v>
      </c>
      <c r="M11" s="94">
        <f>(C14*(C9/1000))*MROW!D12</f>
        <v>0</v>
      </c>
      <c r="O11" s="97" t="s">
        <v>86</v>
      </c>
      <c r="P11" s="94">
        <f>(C15*(C10/1000))*MROE!D11</f>
        <v>0</v>
      </c>
      <c r="Q11" s="94">
        <f>(C15*(C10/1000))*RFCM!D11</f>
        <v>0</v>
      </c>
      <c r="R11" s="94">
        <f>(C15*(C10/1000))*RFCW!D11</f>
        <v>0</v>
      </c>
      <c r="S11" s="94">
        <f>(C15*(C10/1000))*NYUP!D11</f>
        <v>0</v>
      </c>
      <c r="T11" s="94">
        <f>(C15*(C10/1000))*MROW!D11</f>
        <v>0</v>
      </c>
    </row>
    <row r="12" spans="1:20" ht="38.25">
      <c r="A12" s="75"/>
      <c r="B12" s="89" t="s">
        <v>120</v>
      </c>
      <c r="C12" s="329" t="s">
        <v>117</v>
      </c>
      <c r="D12" s="329"/>
      <c r="E12" s="329"/>
      <c r="F12" s="329"/>
      <c r="H12" s="97" t="s">
        <v>87</v>
      </c>
      <c r="I12" s="94">
        <f>(C14*(C9/1000))*MROE!D12</f>
        <v>0</v>
      </c>
      <c r="J12" s="94">
        <f>(C14*(C9/1000))*RFCM!D12</f>
        <v>0</v>
      </c>
      <c r="K12" s="94">
        <f>(C14*(C9/1000))*RFCW!D12</f>
        <v>0</v>
      </c>
      <c r="L12" s="94">
        <f>(C14*(C9/1000))*NYUP!D12</f>
        <v>0</v>
      </c>
      <c r="M12" s="94">
        <f>(C14*(C9/1000))*MROW!D12</f>
        <v>0</v>
      </c>
      <c r="O12" s="97" t="s">
        <v>87</v>
      </c>
      <c r="P12" s="94">
        <f>(C15*(C10/1000))*MROE!D12</f>
        <v>0</v>
      </c>
      <c r="Q12" s="94">
        <f>(C15*(C10/1000))*RFCM!D12</f>
        <v>0</v>
      </c>
      <c r="R12" s="94">
        <f>(C15*(C10/1000))*RFCW!D12</f>
        <v>0</v>
      </c>
      <c r="S12" s="94">
        <f>(C15*(C10/1000))*NYUP!D12</f>
        <v>0</v>
      </c>
      <c r="T12" s="94">
        <f>(C15*(C10/1000))*MROW!D12</f>
        <v>0</v>
      </c>
    </row>
    <row r="13" spans="1:20" ht="19.5">
      <c r="A13" s="75"/>
      <c r="B13" s="89"/>
      <c r="C13" s="86">
        <v>2006</v>
      </c>
      <c r="D13" s="86">
        <v>2007</v>
      </c>
      <c r="E13" s="86">
        <v>2008</v>
      </c>
      <c r="F13" s="86">
        <v>2009</v>
      </c>
      <c r="H13" s="97" t="s">
        <v>88</v>
      </c>
      <c r="I13" s="130">
        <f>(C14*(C9/1000000))*MROE!D13</f>
        <v>0</v>
      </c>
      <c r="J13" s="130">
        <f>(C14*(C9/1000000))*RFCM!D13</f>
        <v>0</v>
      </c>
      <c r="K13" s="130">
        <f>(C14*(C9/1000000))*RFCW!D13</f>
        <v>0</v>
      </c>
      <c r="L13" s="130">
        <f>(C14*(C9/1000000))*NYUP!D13</f>
        <v>0</v>
      </c>
      <c r="M13" s="130">
        <f>(C14*(C9/1000000))*MROW!D13</f>
        <v>0</v>
      </c>
      <c r="O13" s="97" t="s">
        <v>88</v>
      </c>
      <c r="P13" s="130">
        <f>(C15*(C10/1000000))*MROE!D13</f>
        <v>0</v>
      </c>
      <c r="Q13" s="130">
        <f>(C15*(C10/1000000))*RFCM!D13</f>
        <v>0</v>
      </c>
      <c r="R13" s="130">
        <f>(C15*(C10/1000000))*RFCW!D13</f>
        <v>0</v>
      </c>
      <c r="S13" s="130">
        <f>(C15*(C10/1000000))*NYUP!D13</f>
        <v>0</v>
      </c>
      <c r="T13" s="94">
        <f>(C15*(C10/1000000))*MROW!D13</f>
        <v>0</v>
      </c>
    </row>
    <row r="14" spans="1:20" ht="31.5">
      <c r="A14" s="75"/>
      <c r="B14" s="82" t="s">
        <v>123</v>
      </c>
      <c r="C14" s="198">
        <f>'C-Input-Annual Water Use'!C7/1000000</f>
        <v>0</v>
      </c>
      <c r="D14" s="198">
        <f>'C-Input-Annual Water Use'!C8/1000000</f>
        <v>0</v>
      </c>
      <c r="E14" s="198">
        <f>'C-Input-Annual Water Use'!C9/1000000</f>
        <v>0</v>
      </c>
      <c r="F14" s="198">
        <f>'C-Input-Annual Water Use'!C10/1000000</f>
        <v>0</v>
      </c>
      <c r="H14" s="97" t="s">
        <v>89</v>
      </c>
      <c r="I14" s="129">
        <f>(C14*(C9/1000000))*MROE!D14</f>
        <v>0</v>
      </c>
      <c r="J14" s="129">
        <f>(C14*(C9/1000000))*RFCM!D14</f>
        <v>0</v>
      </c>
      <c r="K14" s="129">
        <f>(C14*(C9/1000000))*RFCW!D14</f>
        <v>0</v>
      </c>
      <c r="L14" s="129">
        <f>(C14*(C9/1000000))*NYUP!D14</f>
        <v>0</v>
      </c>
      <c r="M14" s="129">
        <f>(C14*(C9/1000000))*MROW!D14</f>
        <v>0</v>
      </c>
      <c r="O14" s="97" t="s">
        <v>89</v>
      </c>
      <c r="P14" s="130">
        <f>(C15*(C10/1000000))*MROE!D14</f>
        <v>0</v>
      </c>
      <c r="Q14" s="130">
        <f>(C15*(C10/1000000))*RFCM!D14</f>
        <v>0</v>
      </c>
      <c r="R14" s="130">
        <f>(C15*(C10/1000000))*RFCW!D14</f>
        <v>0</v>
      </c>
      <c r="S14" s="130">
        <f>(C15*(C10/1000000))*NYUP!D14</f>
        <v>0</v>
      </c>
      <c r="T14" s="94">
        <f>(C15*(C10/1000000))*MROW!D14</f>
        <v>0</v>
      </c>
    </row>
    <row r="15" spans="1:20" ht="31.5">
      <c r="A15" s="75"/>
      <c r="B15" s="83" t="s">
        <v>124</v>
      </c>
      <c r="C15" s="198">
        <f>'C-Input-Annual Water Use'!C13/1000000</f>
        <v>0</v>
      </c>
      <c r="D15" s="198">
        <f>'C-Input-Annual Water Use'!C14/1000000</f>
        <v>0</v>
      </c>
      <c r="E15" s="198">
        <f>'C-Input-Annual Water Use'!C15/1000000</f>
        <v>0</v>
      </c>
      <c r="F15" s="198">
        <f>'C-Input-Annual Water Use'!C16/1000000</f>
        <v>0</v>
      </c>
      <c r="H15" s="97" t="s">
        <v>90</v>
      </c>
      <c r="I15" s="129">
        <f>(C14*(C9/1000000))*MROE!D15</f>
        <v>0</v>
      </c>
      <c r="J15" s="129">
        <f>(C14*(C9/1000000))*RFCM!D15</f>
        <v>0</v>
      </c>
      <c r="K15" s="129">
        <f>(C14*(C9/1000000))*RFCW!D15</f>
        <v>0</v>
      </c>
      <c r="L15" s="129">
        <f>(C14*(C9/1000000))*NYUP!D15</f>
        <v>0</v>
      </c>
      <c r="M15" s="129">
        <f>(C14*(C9/1000000))*MROW!D15</f>
        <v>0</v>
      </c>
      <c r="O15" s="97" t="s">
        <v>90</v>
      </c>
      <c r="P15" s="130">
        <f>(C15*(C10/1000000))*MROE!D15</f>
        <v>0</v>
      </c>
      <c r="Q15" s="130">
        <f>(C15*(C10/1000000))*RFCM!D15</f>
        <v>0</v>
      </c>
      <c r="R15" s="130">
        <f>(C15*(C10/1000000))*RFCW!D15</f>
        <v>0</v>
      </c>
      <c r="S15" s="130">
        <f>(C15*(C10/1000000))*NYUP!D15</f>
        <v>0</v>
      </c>
      <c r="T15" s="94">
        <f>(C15*(C10/1000000))*MROW!D15</f>
        <v>0</v>
      </c>
    </row>
    <row r="17" spans="8:20" ht="37.5">
      <c r="H17" s="197" t="s">
        <v>109</v>
      </c>
      <c r="I17" s="328" t="s">
        <v>207</v>
      </c>
      <c r="J17" s="328"/>
      <c r="K17" s="328"/>
      <c r="L17" s="328"/>
      <c r="M17" s="328"/>
      <c r="O17" s="196" t="s">
        <v>202</v>
      </c>
      <c r="P17" s="328" t="s">
        <v>206</v>
      </c>
      <c r="Q17" s="328"/>
      <c r="R17" s="328"/>
      <c r="S17" s="328"/>
      <c r="T17" s="328"/>
    </row>
    <row r="18" spans="8:20" ht="90">
      <c r="H18" s="88" t="s">
        <v>5</v>
      </c>
      <c r="I18" s="90" t="s">
        <v>93</v>
      </c>
      <c r="J18" s="90" t="s">
        <v>80</v>
      </c>
      <c r="K18" s="90" t="s">
        <v>81</v>
      </c>
      <c r="L18" s="90" t="s">
        <v>82</v>
      </c>
      <c r="M18" s="90" t="s">
        <v>83</v>
      </c>
      <c r="O18" s="88" t="s">
        <v>5</v>
      </c>
      <c r="P18" s="90" t="s">
        <v>93</v>
      </c>
      <c r="Q18" s="91" t="s">
        <v>80</v>
      </c>
      <c r="R18" s="90" t="s">
        <v>81</v>
      </c>
      <c r="S18" s="91" t="s">
        <v>82</v>
      </c>
      <c r="T18" s="91" t="s">
        <v>83</v>
      </c>
    </row>
    <row r="19" spans="8:20" ht="18.75">
      <c r="H19" s="97" t="s">
        <v>84</v>
      </c>
      <c r="I19" s="94">
        <f>(D14*(D9/1000))*MROE!D9</f>
        <v>0</v>
      </c>
      <c r="J19" s="94">
        <f>(D14*(D9/1000))*RFCM!D9</f>
        <v>0</v>
      </c>
      <c r="K19" s="94">
        <f>(D14*(D9/1000))*RFCW!D9</f>
        <v>0</v>
      </c>
      <c r="L19" s="94">
        <f>(D14*(D9/1000))*NYUP!D9</f>
        <v>0</v>
      </c>
      <c r="M19" s="94">
        <f>(D14*(D9/1000))*MROW!D9</f>
        <v>0</v>
      </c>
      <c r="O19" s="97" t="s">
        <v>84</v>
      </c>
      <c r="P19" s="94">
        <f>(D15*(D10/1000))*MROE!D9</f>
        <v>0</v>
      </c>
      <c r="Q19" s="94">
        <f>(D15*(D10/1000))*RFCM!D9</f>
        <v>0</v>
      </c>
      <c r="R19" s="94">
        <f>(D15*(D10/1000))*RFCW!D9</f>
        <v>0</v>
      </c>
      <c r="S19" s="94">
        <f>(D15*(D10/1000))*NYUP!D9</f>
        <v>0</v>
      </c>
      <c r="T19" s="94">
        <f>(D15*(D10/1000))*MROW!D9</f>
        <v>0</v>
      </c>
    </row>
    <row r="20" spans="8:20" ht="18.75">
      <c r="H20" s="97" t="s">
        <v>85</v>
      </c>
      <c r="I20" s="94">
        <f>(D14*(D9/1000))*MROE!D10</f>
        <v>0</v>
      </c>
      <c r="J20" s="94">
        <f>(D14*(D9/1000))*RFCM!D10</f>
        <v>0</v>
      </c>
      <c r="K20" s="94">
        <f>(D14*(D9/1000))*RFCW!D10</f>
        <v>0</v>
      </c>
      <c r="L20" s="94">
        <f>(D14*(D9/1000))*NYUP!D10</f>
        <v>0</v>
      </c>
      <c r="M20" s="94">
        <f>(D14*(D9/1000))*MROW!D10</f>
        <v>0</v>
      </c>
      <c r="O20" s="97" t="s">
        <v>85</v>
      </c>
      <c r="P20" s="94">
        <f>(D15*(D10/1000))*MROE!D10</f>
        <v>0</v>
      </c>
      <c r="Q20" s="94">
        <f>(D15*(D10/1000))*RFCM!D10</f>
        <v>0</v>
      </c>
      <c r="R20" s="94">
        <f>(D15*(D10/1000))*RFCW!D10</f>
        <v>0</v>
      </c>
      <c r="S20" s="94">
        <f>(D15*(D10/1000))*NYUP!D10</f>
        <v>0</v>
      </c>
      <c r="T20" s="94">
        <f>(D15*(D10/1000))*MROW!D10</f>
        <v>0</v>
      </c>
    </row>
    <row r="21" spans="8:20" ht="18.75">
      <c r="H21" s="97" t="s">
        <v>86</v>
      </c>
      <c r="I21" s="94">
        <f>(D14*(D9/1000))*MROE!D11</f>
        <v>0</v>
      </c>
      <c r="J21" s="94">
        <f>(D14*(D9/1000))*RFCM!D11</f>
        <v>0</v>
      </c>
      <c r="K21" s="94">
        <f>(D14*(D9/1000))*RFCW!D11</f>
        <v>0</v>
      </c>
      <c r="L21" s="94">
        <f>(D14*(D9/1000))*NYUP!D11</f>
        <v>0</v>
      </c>
      <c r="M21" s="94">
        <f>(D14*(D9/1000))*MROW!D12</f>
        <v>0</v>
      </c>
      <c r="O21" s="97" t="s">
        <v>86</v>
      </c>
      <c r="P21" s="94">
        <f>(D15*(D10/1000))*MROE!D11</f>
        <v>0</v>
      </c>
      <c r="Q21" s="94">
        <f>(D15*(D10/1000))*RFCM!D11</f>
        <v>0</v>
      </c>
      <c r="R21" s="94">
        <f>(D15*(D10/1000))*RFCW!D11</f>
        <v>0</v>
      </c>
      <c r="S21" s="94">
        <f>(D15*(D10/1000))*NYUP!D11</f>
        <v>0</v>
      </c>
      <c r="T21" s="94">
        <f>(D15*(D10/1000))*MROW!D11</f>
        <v>0</v>
      </c>
    </row>
    <row r="22" spans="8:20" ht="18.75">
      <c r="H22" s="97" t="s">
        <v>87</v>
      </c>
      <c r="I22" s="94">
        <f>(D14*(D9/1000))*MROE!D12</f>
        <v>0</v>
      </c>
      <c r="J22" s="94">
        <f>(D14*(D9/1000))*RFCM!D12</f>
        <v>0</v>
      </c>
      <c r="K22" s="94">
        <f>(D14*(D9/1000))*RFCW!D12</f>
        <v>0</v>
      </c>
      <c r="L22" s="94">
        <f>(D14*(D9/1000))*NYUP!D12</f>
        <v>0</v>
      </c>
      <c r="M22" s="94">
        <f>(D14*(D9/1000))*MROW!D12</f>
        <v>0</v>
      </c>
      <c r="O22" s="97" t="s">
        <v>87</v>
      </c>
      <c r="P22" s="94">
        <f>(D15*(D10/1000))*MROE!D12</f>
        <v>0</v>
      </c>
      <c r="Q22" s="94">
        <f>(D15*(D10/1000))*RFCM!D12</f>
        <v>0</v>
      </c>
      <c r="R22" s="94">
        <f>(D15*(D10/1000))*RFCW!D12</f>
        <v>0</v>
      </c>
      <c r="S22" s="94">
        <f>(D15*(D10/1000))*NYUP!D12</f>
        <v>0</v>
      </c>
      <c r="T22" s="94">
        <f>(D15*(D10/1000))*MROW!D12</f>
        <v>0</v>
      </c>
    </row>
    <row r="23" spans="8:20" ht="18.75">
      <c r="H23" s="97" t="s">
        <v>88</v>
      </c>
      <c r="I23" s="130">
        <f>(D14*(D9/1000000))*MROE!D13</f>
        <v>0</v>
      </c>
      <c r="J23" s="130">
        <f>(D14*(D9/1000000))*RFCM!D13</f>
        <v>0</v>
      </c>
      <c r="K23" s="130">
        <f>(D14*(D9/1000000))*RFCW!D13</f>
        <v>0</v>
      </c>
      <c r="L23" s="130">
        <f>(D14*(D9/1000000))*NYUP!D13</f>
        <v>0</v>
      </c>
      <c r="M23" s="130">
        <f>(D14*(D9/1000000))*MROW!D13</f>
        <v>0</v>
      </c>
      <c r="O23" s="97" t="s">
        <v>88</v>
      </c>
      <c r="P23" s="130">
        <f>(D15*(D10/1000000))*MROE!D13</f>
        <v>0</v>
      </c>
      <c r="Q23" s="130">
        <f>(D15*(D10/1000000))*RFCM!D13</f>
        <v>0</v>
      </c>
      <c r="R23" s="130">
        <f>(D15*(D10/1000000))*RFCW!D13</f>
        <v>0</v>
      </c>
      <c r="S23" s="130">
        <f>(D15*(D10/1000000))*NYUP!D13</f>
        <v>0</v>
      </c>
      <c r="T23" s="94">
        <f>(D15*(D10/1000000))*MROW!D13</f>
        <v>0</v>
      </c>
    </row>
    <row r="24" spans="8:20" ht="18.75">
      <c r="H24" s="97" t="s">
        <v>89</v>
      </c>
      <c r="I24" s="129">
        <f>(D14*(D9/1000000))*MROE!D14</f>
        <v>0</v>
      </c>
      <c r="J24" s="129">
        <f>(D14*(D9/1000000))*RFCM!D14</f>
        <v>0</v>
      </c>
      <c r="K24" s="129">
        <f>(D14*(D9/1000000))*RFCW!D14</f>
        <v>0</v>
      </c>
      <c r="L24" s="129">
        <f>(D14*(D9/1000000))*NYUP!D14</f>
        <v>0</v>
      </c>
      <c r="M24" s="129">
        <f>(D14*(D9/1000000))*MROW!D14</f>
        <v>0</v>
      </c>
      <c r="O24" s="97" t="s">
        <v>89</v>
      </c>
      <c r="P24" s="130">
        <f>(D15*(D10/1000000))*MROE!D14</f>
        <v>0</v>
      </c>
      <c r="Q24" s="130">
        <f>(D15*(D10/1000000))*RFCM!D14</f>
        <v>0</v>
      </c>
      <c r="R24" s="130">
        <f>(D15*(D10/1000000))*RFCW!D14</f>
        <v>0</v>
      </c>
      <c r="S24" s="130">
        <f>(D15*(D10/1000000))*NYUP!D14</f>
        <v>0</v>
      </c>
      <c r="T24" s="94">
        <f>(D15*(D10/1000000))*MROW!D14</f>
        <v>0</v>
      </c>
    </row>
    <row r="25" spans="8:20" ht="18.75">
      <c r="H25" s="97" t="s">
        <v>90</v>
      </c>
      <c r="I25" s="129">
        <f>(D14*(D9/1000000))*MROE!D15</f>
        <v>0</v>
      </c>
      <c r="J25" s="129">
        <f>(D14*(D9/1000000))*RFCM!D15</f>
        <v>0</v>
      </c>
      <c r="K25" s="129">
        <f>(D14*(D9/1000000))*RFCW!D15</f>
        <v>0</v>
      </c>
      <c r="L25" s="129">
        <f>(D14*(D9/1000000))*NYUP!D15</f>
        <v>0</v>
      </c>
      <c r="M25" s="129">
        <f>(D14*(D9/1000000))*MROW!D15</f>
        <v>0</v>
      </c>
      <c r="O25" s="97" t="s">
        <v>90</v>
      </c>
      <c r="P25" s="130">
        <f>(D15*(D10/1000000))*MROE!D15</f>
        <v>0</v>
      </c>
      <c r="Q25" s="130">
        <f>(D15*(D10/1000000))*RFCM!D15</f>
        <v>0</v>
      </c>
      <c r="R25" s="130">
        <f>(D15*(D10/1000000))*RFCW!D15</f>
        <v>0</v>
      </c>
      <c r="S25" s="130">
        <f>(D15*(D10/1000000))*NYUP!D15</f>
        <v>0</v>
      </c>
      <c r="T25" s="94">
        <f>(D15*(D10/1000000))*MROW!D15</f>
        <v>0</v>
      </c>
    </row>
    <row r="27" spans="8:20" ht="37.5">
      <c r="H27" s="197" t="s">
        <v>109</v>
      </c>
      <c r="I27" s="328" t="s">
        <v>205</v>
      </c>
      <c r="J27" s="328"/>
      <c r="K27" s="328"/>
      <c r="L27" s="328"/>
      <c r="M27" s="328"/>
      <c r="O27" s="196" t="s">
        <v>202</v>
      </c>
      <c r="P27" s="328" t="s">
        <v>204</v>
      </c>
      <c r="Q27" s="328"/>
      <c r="R27" s="328"/>
      <c r="S27" s="328"/>
      <c r="T27" s="328"/>
    </row>
    <row r="28" spans="8:20" ht="90">
      <c r="H28" s="88" t="s">
        <v>5</v>
      </c>
      <c r="I28" s="90" t="s">
        <v>93</v>
      </c>
      <c r="J28" s="90" t="s">
        <v>80</v>
      </c>
      <c r="K28" s="90" t="s">
        <v>81</v>
      </c>
      <c r="L28" s="90" t="s">
        <v>82</v>
      </c>
      <c r="M28" s="90" t="s">
        <v>83</v>
      </c>
      <c r="O28" s="88" t="s">
        <v>5</v>
      </c>
      <c r="P28" s="90" t="s">
        <v>93</v>
      </c>
      <c r="Q28" s="91" t="s">
        <v>80</v>
      </c>
      <c r="R28" s="90" t="s">
        <v>81</v>
      </c>
      <c r="S28" s="91" t="s">
        <v>82</v>
      </c>
      <c r="T28" s="91" t="s">
        <v>83</v>
      </c>
    </row>
    <row r="29" spans="8:20" ht="18.75">
      <c r="H29" s="97" t="s">
        <v>84</v>
      </c>
      <c r="I29" s="94">
        <f>(E14*(E9/1000))*MROE!D9</f>
        <v>0</v>
      </c>
      <c r="J29" s="94">
        <f>(E14*(E9/1000))*RFCM!D9</f>
        <v>0</v>
      </c>
      <c r="K29" s="94">
        <f>(E14*(E9/1000))*RFCW!D9</f>
        <v>0</v>
      </c>
      <c r="L29" s="94">
        <f>(E14*(E9/1000))*NYUP!D9</f>
        <v>0</v>
      </c>
      <c r="M29" s="94">
        <f>(E14*(E9/1000))*MROW!D9</f>
        <v>0</v>
      </c>
      <c r="O29" s="97" t="s">
        <v>84</v>
      </c>
      <c r="P29" s="94">
        <f>(E15*(E10/1000))*MROE!D9</f>
        <v>0</v>
      </c>
      <c r="Q29" s="94">
        <f>(E15*(E10/1000))*RFCM!D9</f>
        <v>0</v>
      </c>
      <c r="R29" s="94">
        <f>(E15*(E10/1000))*RFCW!D9</f>
        <v>0</v>
      </c>
      <c r="S29" s="94">
        <f>(E15*(E10/1000))*NYUP!D9</f>
        <v>0</v>
      </c>
      <c r="T29" s="94">
        <f>(E15*(E10/1000))*MROW!D9</f>
        <v>0</v>
      </c>
    </row>
    <row r="30" spans="8:20" ht="18.75">
      <c r="H30" s="97" t="s">
        <v>85</v>
      </c>
      <c r="I30" s="94">
        <f>(E14*(E9/1000))*MROE!D10</f>
        <v>0</v>
      </c>
      <c r="J30" s="94">
        <f>(E14*(E9/1000))*RFCM!D10</f>
        <v>0</v>
      </c>
      <c r="K30" s="94">
        <f>(E14*(E9/1000))*RFCW!D10</f>
        <v>0</v>
      </c>
      <c r="L30" s="94">
        <f>(E14*(E9/1000))*NYUP!D10</f>
        <v>0</v>
      </c>
      <c r="M30" s="94">
        <f>(E14*(E9/1000))*MROW!D10</f>
        <v>0</v>
      </c>
      <c r="O30" s="97" t="s">
        <v>85</v>
      </c>
      <c r="P30" s="94">
        <f>(E15*(E10/1000))*MROE!D10</f>
        <v>0</v>
      </c>
      <c r="Q30" s="94">
        <f>(E15*(E10/1000))*RFCM!D10</f>
        <v>0</v>
      </c>
      <c r="R30" s="94">
        <f>(E15*(E10/1000))*RFCW!D10</f>
        <v>0</v>
      </c>
      <c r="S30" s="94">
        <f>(E15*(E10/1000))*NYUP!D10</f>
        <v>0</v>
      </c>
      <c r="T30" s="94">
        <f>(E15*(E10/1000))*MROW!D10</f>
        <v>0</v>
      </c>
    </row>
    <row r="31" spans="8:20" ht="18.75">
      <c r="H31" s="97" t="s">
        <v>86</v>
      </c>
      <c r="I31" s="94">
        <f>(E14*(E9/1000))*MROE!D11</f>
        <v>0</v>
      </c>
      <c r="J31" s="94">
        <f>(E14*(E9/1000))*RFCM!D11</f>
        <v>0</v>
      </c>
      <c r="K31" s="94">
        <f>(E14*(E9/1000))*RFCW!D11</f>
        <v>0</v>
      </c>
      <c r="L31" s="94">
        <f>(E14*(E9/1000))*NYUP!D11</f>
        <v>0</v>
      </c>
      <c r="M31" s="94">
        <f>(E14*(E9/1000))*MROW!D12</f>
        <v>0</v>
      </c>
      <c r="O31" s="97" t="s">
        <v>86</v>
      </c>
      <c r="P31" s="94">
        <f>(E15*(E10/1000))*MROE!D11</f>
        <v>0</v>
      </c>
      <c r="Q31" s="94">
        <f>(E15*(E10/1000))*RFCM!D11</f>
        <v>0</v>
      </c>
      <c r="R31" s="94">
        <f>(E15*(E10/1000))*RFCW!D11</f>
        <v>0</v>
      </c>
      <c r="S31" s="94">
        <f>(E15*(E10/1000))*NYUP!D11</f>
        <v>0</v>
      </c>
      <c r="T31" s="94">
        <f>(E15*(E10/1000))*MROW!D11</f>
        <v>0</v>
      </c>
    </row>
    <row r="32" spans="8:20" ht="18.75">
      <c r="H32" s="97" t="s">
        <v>87</v>
      </c>
      <c r="I32" s="94">
        <f>(E14*(E9/1000))*MROE!D12</f>
        <v>0</v>
      </c>
      <c r="J32" s="94">
        <f>(E14*(E9/1000))*RFCM!D12</f>
        <v>0</v>
      </c>
      <c r="K32" s="94">
        <f>(E14*(E9/1000))*RFCW!D12</f>
        <v>0</v>
      </c>
      <c r="L32" s="94">
        <f>(E14*(E9/1000))*NYUP!D12</f>
        <v>0</v>
      </c>
      <c r="M32" s="94">
        <f>(E14*(E9/1000))*MROW!D12</f>
        <v>0</v>
      </c>
      <c r="O32" s="97" t="s">
        <v>87</v>
      </c>
      <c r="P32" s="94">
        <f>(E15*(E10/1000))*MROE!D12</f>
        <v>0</v>
      </c>
      <c r="Q32" s="94">
        <f>(E15*(E10/1000))*RFCM!D12</f>
        <v>0</v>
      </c>
      <c r="R32" s="94">
        <f>(E15*(E10/1000))*RFCW!D12</f>
        <v>0</v>
      </c>
      <c r="S32" s="94">
        <f>(E15*(E10/1000))*NYUP!D12</f>
        <v>0</v>
      </c>
      <c r="T32" s="94">
        <f>(E15*(E10/1000))*MROW!D12</f>
        <v>0</v>
      </c>
    </row>
    <row r="33" spans="8:20" ht="18.75">
      <c r="H33" s="97" t="s">
        <v>88</v>
      </c>
      <c r="I33" s="130">
        <f>(E14*(E9/1000000))*MROE!D13</f>
        <v>0</v>
      </c>
      <c r="J33" s="130">
        <f>(E14*(E9/1000000))*RFCM!D13</f>
        <v>0</v>
      </c>
      <c r="K33" s="130">
        <f>(E14*(E9/1000000))*RFCW!D13</f>
        <v>0</v>
      </c>
      <c r="L33" s="130">
        <f>(E14*(E9/1000000))*NYUP!D13</f>
        <v>0</v>
      </c>
      <c r="M33" s="130">
        <f>(E14*(E9/1000000))*MROW!D13</f>
        <v>0</v>
      </c>
      <c r="O33" s="97" t="s">
        <v>88</v>
      </c>
      <c r="P33" s="130">
        <f>(E15*(E10/1000000))*MROE!D13</f>
        <v>0</v>
      </c>
      <c r="Q33" s="130">
        <f>(E15*(E10/1000000))*RFCM!D13</f>
        <v>0</v>
      </c>
      <c r="R33" s="130">
        <f>(E15*(E10/1000000))*RFCW!D13</f>
        <v>0</v>
      </c>
      <c r="S33" s="130">
        <f>(E15*(E10/1000000))*NYUP!D13</f>
        <v>0</v>
      </c>
      <c r="T33" s="94">
        <f>(E15*(E10/1000000))*MROW!D13</f>
        <v>0</v>
      </c>
    </row>
    <row r="34" spans="8:20" ht="18.75">
      <c r="H34" s="97" t="s">
        <v>89</v>
      </c>
      <c r="I34" s="129">
        <f>(E14*(E9/1000000))*MROE!D14</f>
        <v>0</v>
      </c>
      <c r="J34" s="129">
        <f>(E14*(E9/1000000))*RFCM!D14</f>
        <v>0</v>
      </c>
      <c r="K34" s="129">
        <f>(E14*(E9/1000000))*RFCW!D14</f>
        <v>0</v>
      </c>
      <c r="L34" s="129">
        <f>(E14*(E9/1000000))*NYUP!D14</f>
        <v>0</v>
      </c>
      <c r="M34" s="129">
        <f>(E14*(E9/1000000))*MROW!D14</f>
        <v>0</v>
      </c>
      <c r="O34" s="97" t="s">
        <v>89</v>
      </c>
      <c r="P34" s="130">
        <f>(E15*(E10/1000000))*MROE!D14</f>
        <v>0</v>
      </c>
      <c r="Q34" s="130">
        <f>(E15*(E10/1000000))*RFCM!D14</f>
        <v>0</v>
      </c>
      <c r="R34" s="130">
        <f>(E15*(E10/1000000))*RFCW!D14</f>
        <v>0</v>
      </c>
      <c r="S34" s="130">
        <f>(E15*(E10/1000000))*NYUP!D14</f>
        <v>0</v>
      </c>
      <c r="T34" s="94">
        <f>(E15*(E10/1000000))*MROW!D14</f>
        <v>0</v>
      </c>
    </row>
    <row r="35" spans="8:20" ht="18.75">
      <c r="H35" s="97" t="s">
        <v>90</v>
      </c>
      <c r="I35" s="129">
        <f>(E14*(E9/1000000))*MROE!D15</f>
        <v>0</v>
      </c>
      <c r="J35" s="129">
        <f>(E14*(E9/1000000))*RFCM!D15</f>
        <v>0</v>
      </c>
      <c r="K35" s="129">
        <f>(E14*(E9/1000000))*RFCW!D15</f>
        <v>0</v>
      </c>
      <c r="L35" s="129">
        <f>(E14*(E9/1000000))*NYUP!D15</f>
        <v>0</v>
      </c>
      <c r="M35" s="129">
        <f>(E14*(E9/1000000))*MROW!D15</f>
        <v>0</v>
      </c>
      <c r="O35" s="97" t="s">
        <v>90</v>
      </c>
      <c r="P35" s="130">
        <f>(E15*(E10/1000000))*MROE!D15</f>
        <v>0</v>
      </c>
      <c r="Q35" s="130">
        <f>(E15*(E10/1000000))*RFCM!D15</f>
        <v>0</v>
      </c>
      <c r="R35" s="130">
        <f>(E15*(E10/1000000))*RFCW!D15</f>
        <v>0</v>
      </c>
      <c r="S35" s="130">
        <f>(E15*(E10/1000000))*NYUP!D15</f>
        <v>0</v>
      </c>
      <c r="T35" s="94">
        <f>(E15*(E10/1000000))*MROW!D15</f>
        <v>0</v>
      </c>
    </row>
    <row r="37" spans="8:20" ht="37.5">
      <c r="H37" s="197" t="s">
        <v>109</v>
      </c>
      <c r="I37" s="328" t="s">
        <v>203</v>
      </c>
      <c r="J37" s="328"/>
      <c r="K37" s="328"/>
      <c r="L37" s="328"/>
      <c r="M37" s="328"/>
      <c r="O37" s="196" t="s">
        <v>202</v>
      </c>
      <c r="P37" s="328" t="s">
        <v>201</v>
      </c>
      <c r="Q37" s="328"/>
      <c r="R37" s="328"/>
      <c r="S37" s="328"/>
      <c r="T37" s="328"/>
    </row>
    <row r="38" spans="8:20" ht="90">
      <c r="H38" s="88" t="s">
        <v>5</v>
      </c>
      <c r="I38" s="90" t="s">
        <v>93</v>
      </c>
      <c r="J38" s="90" t="s">
        <v>80</v>
      </c>
      <c r="K38" s="90" t="s">
        <v>81</v>
      </c>
      <c r="L38" s="90" t="s">
        <v>82</v>
      </c>
      <c r="M38" s="90" t="s">
        <v>83</v>
      </c>
      <c r="O38" s="88" t="s">
        <v>5</v>
      </c>
      <c r="P38" s="90" t="s">
        <v>93</v>
      </c>
      <c r="Q38" s="91" t="s">
        <v>80</v>
      </c>
      <c r="R38" s="90" t="s">
        <v>81</v>
      </c>
      <c r="S38" s="91" t="s">
        <v>82</v>
      </c>
      <c r="T38" s="91" t="s">
        <v>83</v>
      </c>
    </row>
    <row r="39" spans="8:20" ht="18.75">
      <c r="H39" s="97" t="s">
        <v>84</v>
      </c>
      <c r="I39" s="94">
        <f>(F14*(F9/1000))*MROE!D9</f>
        <v>0</v>
      </c>
      <c r="J39" s="94">
        <f>(F14*(F9/1000))*RFCM!D9</f>
        <v>0</v>
      </c>
      <c r="K39" s="94">
        <f>(F14*(F9/1000))*RFCW!D9</f>
        <v>0</v>
      </c>
      <c r="L39" s="94">
        <f>(F14*(F9/1000))*NYUP!D9</f>
        <v>0</v>
      </c>
      <c r="M39" s="94">
        <f>(F14*(F9/1000))*MROW!D9</f>
        <v>0</v>
      </c>
      <c r="O39" s="97" t="s">
        <v>84</v>
      </c>
      <c r="P39" s="94">
        <f>(F15*(F10/1000))*MROE!D9</f>
        <v>0</v>
      </c>
      <c r="Q39" s="94">
        <f>(F15*(F10/1000))*RFCM!D9</f>
        <v>0</v>
      </c>
      <c r="R39" s="94">
        <f>(F15*(F10/1000))*RFCW!D9</f>
        <v>0</v>
      </c>
      <c r="S39" s="94">
        <f>(F15*(F10/1000))*NYUP!D9</f>
        <v>0</v>
      </c>
      <c r="T39" s="94">
        <f>(F15*(F10/1000))*MROW!D9</f>
        <v>0</v>
      </c>
    </row>
    <row r="40" spans="8:20" ht="18.75">
      <c r="H40" s="97" t="s">
        <v>85</v>
      </c>
      <c r="I40" s="94">
        <f>(F14*(F9/1000))*MROE!D10</f>
        <v>0</v>
      </c>
      <c r="J40" s="94">
        <f>(F14*(F9/1000))*RFCM!D10</f>
        <v>0</v>
      </c>
      <c r="K40" s="94">
        <f>(F14*(F9/1000))*RFCW!D10</f>
        <v>0</v>
      </c>
      <c r="L40" s="94">
        <f>(F14*(F9/1000))*NYUP!D10</f>
        <v>0</v>
      </c>
      <c r="M40" s="94">
        <f>(F14*(F9/1000))*MROW!D10</f>
        <v>0</v>
      </c>
      <c r="O40" s="97" t="s">
        <v>85</v>
      </c>
      <c r="P40" s="94">
        <f>(F15*(F10/1000))*MROE!D10</f>
        <v>0</v>
      </c>
      <c r="Q40" s="94">
        <f>(F15*(F10/1000))*RFCM!D10</f>
        <v>0</v>
      </c>
      <c r="R40" s="94">
        <f>(F15*(F10/1000))*RFCW!D10</f>
        <v>0</v>
      </c>
      <c r="S40" s="94">
        <f>(F15*(F10/1000))*NYUP!D10</f>
        <v>0</v>
      </c>
      <c r="T40" s="94">
        <f>(F15*(F10/1000))*MROW!D10</f>
        <v>0</v>
      </c>
    </row>
    <row r="41" spans="8:20" ht="18.75">
      <c r="H41" s="97" t="s">
        <v>86</v>
      </c>
      <c r="I41" s="94">
        <f>(F14*(F9/1000))*MROE!D11</f>
        <v>0</v>
      </c>
      <c r="J41" s="94">
        <f>(F14*(F9/1000))*RFCM!D11</f>
        <v>0</v>
      </c>
      <c r="K41" s="94">
        <f>(F14*(F9/1000))*RFCW!D11</f>
        <v>0</v>
      </c>
      <c r="L41" s="94">
        <f>(F14*(F9/1000))*NYUP!D11</f>
        <v>0</v>
      </c>
      <c r="M41" s="94">
        <f>(F14*(F9/1000))*MROW!D11</f>
        <v>0</v>
      </c>
      <c r="O41" s="97" t="s">
        <v>86</v>
      </c>
      <c r="P41" s="94">
        <f>(F15*(F10/1000))*MROE!D11</f>
        <v>0</v>
      </c>
      <c r="Q41" s="94">
        <f>(F15*(F10/1000))*RFCM!D11</f>
        <v>0</v>
      </c>
      <c r="R41" s="94">
        <f>(F15*(F10/1000))*RFCW!D11</f>
        <v>0</v>
      </c>
      <c r="S41" s="94">
        <f>(F15*(F10/1000))*NYUP!D11</f>
        <v>0</v>
      </c>
      <c r="T41" s="94">
        <f>(F15*(F10/1000))*MROW!D11</f>
        <v>0</v>
      </c>
    </row>
    <row r="42" spans="8:20" ht="18.75">
      <c r="H42" s="97" t="s">
        <v>87</v>
      </c>
      <c r="I42" s="94">
        <f>(F14*(F9/1000))*MROE!D12</f>
        <v>0</v>
      </c>
      <c r="J42" s="94">
        <f>(F14*(F9/1000))*RFCM!D12</f>
        <v>0</v>
      </c>
      <c r="K42" s="94">
        <f>(F14*(F9/1000))*RFCW!D12</f>
        <v>0</v>
      </c>
      <c r="L42" s="94">
        <f>(F14*(F9/1000))*NYUP!D12</f>
        <v>0</v>
      </c>
      <c r="M42" s="94">
        <f>(F14*(F9/1000))*MROW!D12</f>
        <v>0</v>
      </c>
      <c r="O42" s="97" t="s">
        <v>87</v>
      </c>
      <c r="P42" s="94">
        <f>(F15*(F10/1000))*MROE!D12</f>
        <v>0</v>
      </c>
      <c r="Q42" s="94">
        <f>(F15*(F10/1000))*RFCM!D12</f>
        <v>0</v>
      </c>
      <c r="R42" s="94">
        <f>(F15*(F10/1000))*RFCW!D12</f>
        <v>0</v>
      </c>
      <c r="S42" s="94">
        <f>(F15*(F10/1000))*NYUP!D12</f>
        <v>0</v>
      </c>
      <c r="T42" s="94">
        <f>(F15*(F10/1000))*MROW!D12</f>
        <v>0</v>
      </c>
    </row>
    <row r="43" spans="8:20" ht="18.75">
      <c r="H43" s="97" t="s">
        <v>88</v>
      </c>
      <c r="I43" s="130">
        <f>(F14*(F9/1000000))*MROE!D13</f>
        <v>0</v>
      </c>
      <c r="J43" s="130">
        <f>(F14*(F9/1000000))*RFCM!D13</f>
        <v>0</v>
      </c>
      <c r="K43" s="130">
        <f>(F14*(F9/1000000))*RFCW!D13</f>
        <v>0</v>
      </c>
      <c r="L43" s="130">
        <f>(F14*(F9/1000000))*NYUP!D13</f>
        <v>0</v>
      </c>
      <c r="M43" s="130">
        <f>(F14*(F9/1000000))*MROW!D13</f>
        <v>0</v>
      </c>
      <c r="O43" s="97" t="s">
        <v>88</v>
      </c>
      <c r="P43" s="130">
        <f>(F15*(F10/1000000))*MROE!D13</f>
        <v>0</v>
      </c>
      <c r="Q43" s="130">
        <f>(F15*(F10/1000000))*RFCM!D13</f>
        <v>0</v>
      </c>
      <c r="R43" s="130">
        <f>(F15*(F10/1000000))*RFCW!D13</f>
        <v>0</v>
      </c>
      <c r="S43" s="130">
        <f>(F15*(F10/1000000))*NYUP!D13</f>
        <v>0</v>
      </c>
      <c r="T43" s="94">
        <f>(F15*(F10/1000000))*MROW!D13</f>
        <v>0</v>
      </c>
    </row>
    <row r="44" spans="8:20" ht="18.75">
      <c r="H44" s="97" t="s">
        <v>89</v>
      </c>
      <c r="I44" s="129">
        <f>(F14*(F9/1000000))*MROE!D14</f>
        <v>0</v>
      </c>
      <c r="J44" s="129">
        <f>(F14*(F9/1000000))*RFCM!D14</f>
        <v>0</v>
      </c>
      <c r="K44" s="129">
        <f>(F14*(F9/1000000))*RFCW!D14</f>
        <v>0</v>
      </c>
      <c r="L44" s="129">
        <f>(F14*(F9/1000000))*NYUP!D14</f>
        <v>0</v>
      </c>
      <c r="M44" s="129">
        <f>(F14*(F9/1000000))*MROW!D14</f>
        <v>0</v>
      </c>
      <c r="O44" s="97" t="s">
        <v>89</v>
      </c>
      <c r="P44" s="130">
        <f>(F15*(F10/1000000))*MROE!D14</f>
        <v>0</v>
      </c>
      <c r="Q44" s="130">
        <f>(F15*(F10/1000000))*RFCM!D14</f>
        <v>0</v>
      </c>
      <c r="R44" s="130">
        <f>(F15*(F10/1000000))*RFCW!D14</f>
        <v>0</v>
      </c>
      <c r="S44" s="130">
        <f>(F15*(F10/1000000))*NYUP!D14</f>
        <v>0</v>
      </c>
      <c r="T44" s="94">
        <f>(F15*(F10/1000000))*MROW!D14</f>
        <v>0</v>
      </c>
    </row>
    <row r="45" spans="8:20" ht="18.75">
      <c r="H45" s="97" t="s">
        <v>90</v>
      </c>
      <c r="I45" s="129">
        <f>(F14*(F9/1000000))*MROE!D15</f>
        <v>0</v>
      </c>
      <c r="J45" s="129">
        <f>(F14*(F9/1000000))*RFCM!D15</f>
        <v>0</v>
      </c>
      <c r="K45" s="129">
        <f>(F14*(F9/1000000))*RFCW!D15</f>
        <v>0</v>
      </c>
      <c r="L45" s="129">
        <f>(F14*(F9/1000000))*NYUP!D15</f>
        <v>0</v>
      </c>
      <c r="M45" s="129">
        <f>(F14*(F9/1000000))*MROW!D15</f>
        <v>0</v>
      </c>
      <c r="O45" s="97" t="s">
        <v>90</v>
      </c>
      <c r="P45" s="130">
        <f>(F15*(F10/1000000))*MROE!D15</f>
        <v>0</v>
      </c>
      <c r="Q45" s="130">
        <f>(F15*(F10/1000000))*RFCM!D15</f>
        <v>0</v>
      </c>
      <c r="R45" s="130">
        <f>(F15*(F10/1000000))*RFCW!D15</f>
        <v>0</v>
      </c>
      <c r="S45" s="130">
        <f>(F15*(F10/1000000))*NYUP!D15</f>
        <v>0</v>
      </c>
      <c r="T45" s="94">
        <f>(F15*(F10/1000000))*MROW!D15</f>
        <v>0</v>
      </c>
    </row>
    <row r="59" ht="50.25" customHeight="1"/>
    <row r="60" ht="72.75" customHeight="1"/>
    <row r="71" spans="2:7" ht="57" customHeight="1">
      <c r="B71" s="103" t="s">
        <v>99</v>
      </c>
      <c r="C71" s="324" t="s">
        <v>91</v>
      </c>
      <c r="D71" s="324"/>
      <c r="E71" s="324"/>
      <c r="F71" s="324"/>
      <c r="G71" s="325"/>
    </row>
    <row r="72" spans="2:7" ht="60">
      <c r="B72" s="104" t="s">
        <v>5</v>
      </c>
      <c r="C72" s="90" t="s">
        <v>93</v>
      </c>
      <c r="D72" s="90" t="s">
        <v>80</v>
      </c>
      <c r="E72" s="90" t="s">
        <v>81</v>
      </c>
      <c r="F72" s="90" t="s">
        <v>82</v>
      </c>
      <c r="G72" s="90" t="s">
        <v>83</v>
      </c>
    </row>
    <row r="73" spans="2:7" ht="18.75">
      <c r="B73" s="106" t="s">
        <v>84</v>
      </c>
      <c r="C73" s="94">
        <f t="shared" ref="C73:G79" si="0">I9+P9</f>
        <v>0</v>
      </c>
      <c r="D73" s="107">
        <f t="shared" si="0"/>
        <v>0</v>
      </c>
      <c r="E73" s="107">
        <f t="shared" si="0"/>
        <v>0</v>
      </c>
      <c r="F73" s="107">
        <f t="shared" si="0"/>
        <v>0</v>
      </c>
      <c r="G73" s="108">
        <f t="shared" si="0"/>
        <v>0</v>
      </c>
    </row>
    <row r="74" spans="2:7" ht="18.75">
      <c r="B74" s="106" t="s">
        <v>85</v>
      </c>
      <c r="C74" s="94">
        <f t="shared" si="0"/>
        <v>0</v>
      </c>
      <c r="D74" s="107">
        <f t="shared" si="0"/>
        <v>0</v>
      </c>
      <c r="E74" s="107">
        <f t="shared" si="0"/>
        <v>0</v>
      </c>
      <c r="F74" s="107">
        <f t="shared" si="0"/>
        <v>0</v>
      </c>
      <c r="G74" s="108">
        <f t="shared" si="0"/>
        <v>0</v>
      </c>
    </row>
    <row r="75" spans="2:7" ht="18.75">
      <c r="B75" s="106" t="s">
        <v>86</v>
      </c>
      <c r="C75" s="94">
        <f t="shared" si="0"/>
        <v>0</v>
      </c>
      <c r="D75" s="107">
        <f t="shared" si="0"/>
        <v>0</v>
      </c>
      <c r="E75" s="107">
        <f t="shared" si="0"/>
        <v>0</v>
      </c>
      <c r="F75" s="107">
        <f t="shared" si="0"/>
        <v>0</v>
      </c>
      <c r="G75" s="108">
        <f t="shared" si="0"/>
        <v>0</v>
      </c>
    </row>
    <row r="76" spans="2:7" ht="18.75">
      <c r="B76" s="106" t="s">
        <v>87</v>
      </c>
      <c r="C76" s="94">
        <f t="shared" si="0"/>
        <v>0</v>
      </c>
      <c r="D76" s="107">
        <f t="shared" si="0"/>
        <v>0</v>
      </c>
      <c r="E76" s="107">
        <f t="shared" si="0"/>
        <v>0</v>
      </c>
      <c r="F76" s="107">
        <f t="shared" si="0"/>
        <v>0</v>
      </c>
      <c r="G76" s="108">
        <f t="shared" si="0"/>
        <v>0</v>
      </c>
    </row>
    <row r="77" spans="2:7" ht="18.75">
      <c r="B77" s="106" t="s">
        <v>88</v>
      </c>
      <c r="C77" s="95">
        <f t="shared" si="0"/>
        <v>0</v>
      </c>
      <c r="D77" s="109">
        <f t="shared" si="0"/>
        <v>0</v>
      </c>
      <c r="E77" s="109">
        <f t="shared" si="0"/>
        <v>0</v>
      </c>
      <c r="F77" s="109">
        <f t="shared" si="0"/>
        <v>0</v>
      </c>
      <c r="G77" s="110">
        <f t="shared" si="0"/>
        <v>0</v>
      </c>
    </row>
    <row r="78" spans="2:7" ht="18.75">
      <c r="B78" s="106" t="s">
        <v>89</v>
      </c>
      <c r="C78" s="96">
        <f t="shared" si="0"/>
        <v>0</v>
      </c>
      <c r="D78" s="111">
        <f t="shared" si="0"/>
        <v>0</v>
      </c>
      <c r="E78" s="111">
        <f t="shared" si="0"/>
        <v>0</v>
      </c>
      <c r="F78" s="111">
        <f t="shared" si="0"/>
        <v>0</v>
      </c>
      <c r="G78" s="112">
        <f t="shared" si="0"/>
        <v>0</v>
      </c>
    </row>
    <row r="79" spans="2:7" ht="18.75">
      <c r="B79" s="113" t="s">
        <v>90</v>
      </c>
      <c r="C79" s="114">
        <f t="shared" si="0"/>
        <v>0</v>
      </c>
      <c r="D79" s="115">
        <f t="shared" si="0"/>
        <v>0</v>
      </c>
      <c r="E79" s="115">
        <f t="shared" si="0"/>
        <v>0</v>
      </c>
      <c r="F79" s="115">
        <f t="shared" si="0"/>
        <v>0</v>
      </c>
      <c r="G79" s="116">
        <f t="shared" si="0"/>
        <v>0</v>
      </c>
    </row>
    <row r="82" spans="2:7">
      <c r="B82" s="122" t="s">
        <v>107</v>
      </c>
      <c r="C82" s="124">
        <f>C73/2204.6</f>
        <v>0</v>
      </c>
      <c r="D82" s="124">
        <f>D73/2204.6</f>
        <v>0</v>
      </c>
      <c r="E82" s="124">
        <f>E73/2204.6</f>
        <v>0</v>
      </c>
      <c r="F82" s="63">
        <f>F73/2204.6</f>
        <v>0</v>
      </c>
      <c r="G82" s="63">
        <f>G73/2204.6</f>
        <v>0</v>
      </c>
    </row>
    <row r="83" spans="2:7">
      <c r="B83" s="121"/>
      <c r="C83" s="120"/>
      <c r="D83" s="120"/>
      <c r="E83" s="120"/>
      <c r="F83" s="120"/>
      <c r="G83" s="120"/>
    </row>
    <row r="84" spans="2:7">
      <c r="B84" s="120"/>
      <c r="C84" s="123"/>
      <c r="D84" s="123"/>
      <c r="E84" s="123"/>
      <c r="F84" s="123"/>
      <c r="G84" s="123"/>
    </row>
    <row r="85" spans="2:7">
      <c r="B85" s="120"/>
      <c r="C85" s="123"/>
      <c r="D85" s="123"/>
      <c r="E85" s="123"/>
      <c r="F85" s="123"/>
      <c r="G85" s="123"/>
    </row>
    <row r="86" spans="2:7">
      <c r="B86" s="120"/>
      <c r="C86" s="123"/>
      <c r="D86" s="123"/>
      <c r="E86" s="123"/>
      <c r="F86" s="123"/>
      <c r="G86" s="123"/>
    </row>
    <row r="87" spans="2:7">
      <c r="B87" s="120"/>
      <c r="C87" s="123"/>
      <c r="D87" s="123"/>
      <c r="E87" s="123"/>
      <c r="F87" s="123"/>
      <c r="G87" s="123"/>
    </row>
    <row r="88" spans="2:7">
      <c r="B88" s="120"/>
      <c r="C88" s="123"/>
      <c r="D88" s="123"/>
      <c r="E88" s="123"/>
      <c r="F88" s="123"/>
      <c r="G88" s="123"/>
    </row>
    <row r="89" spans="2:7">
      <c r="B89" s="120"/>
      <c r="C89" s="123"/>
      <c r="D89" s="123"/>
      <c r="E89" s="123"/>
      <c r="F89" s="123"/>
      <c r="G89" s="123"/>
    </row>
    <row r="90" spans="2:7">
      <c r="B90" s="120"/>
      <c r="C90" s="123"/>
      <c r="D90" s="123"/>
      <c r="E90" s="123"/>
      <c r="F90" s="123"/>
      <c r="G90" s="123"/>
    </row>
    <row r="91" spans="2:7">
      <c r="B91" s="120"/>
      <c r="C91" s="123"/>
      <c r="D91" s="123"/>
      <c r="E91" s="123"/>
      <c r="F91" s="123"/>
      <c r="G91" s="123"/>
    </row>
    <row r="92" spans="2:7">
      <c r="B92" s="120"/>
      <c r="C92" s="123"/>
      <c r="D92" s="123"/>
      <c r="E92" s="123"/>
      <c r="F92" s="123"/>
      <c r="G92" s="123"/>
    </row>
    <row r="93" spans="2:7">
      <c r="B93" s="120"/>
      <c r="C93" s="123"/>
      <c r="D93" s="123"/>
      <c r="E93" s="123"/>
      <c r="F93" s="123"/>
      <c r="G93" s="123"/>
    </row>
    <row r="94" spans="2:7">
      <c r="B94" s="120"/>
      <c r="C94" s="123"/>
      <c r="D94" s="123"/>
      <c r="E94" s="123"/>
      <c r="F94" s="123"/>
      <c r="G94" s="123"/>
    </row>
    <row r="95" spans="2:7">
      <c r="B95" s="120"/>
      <c r="C95" s="123"/>
      <c r="D95" s="123"/>
      <c r="E95" s="123"/>
      <c r="F95" s="123"/>
      <c r="G95" s="123"/>
    </row>
    <row r="96" spans="2:7">
      <c r="B96" s="120"/>
      <c r="C96" s="123"/>
      <c r="D96" s="123"/>
      <c r="E96" s="123"/>
      <c r="F96" s="123"/>
      <c r="G96" s="123"/>
    </row>
    <row r="97" spans="2:7">
      <c r="B97" s="120"/>
      <c r="C97" s="123"/>
      <c r="D97" s="123"/>
      <c r="E97" s="123"/>
      <c r="F97" s="123"/>
      <c r="G97" s="123"/>
    </row>
    <row r="98" spans="2:7">
      <c r="B98" s="120"/>
      <c r="C98" s="123"/>
      <c r="D98" s="123"/>
      <c r="E98" s="123"/>
      <c r="F98" s="123"/>
      <c r="G98" s="123"/>
    </row>
  </sheetData>
  <mergeCells count="12">
    <mergeCell ref="C71:G71"/>
    <mergeCell ref="C7:F7"/>
    <mergeCell ref="C12:F12"/>
    <mergeCell ref="I17:M17"/>
    <mergeCell ref="I27:M27"/>
    <mergeCell ref="I37:M37"/>
    <mergeCell ref="P17:T17"/>
    <mergeCell ref="P27:T27"/>
    <mergeCell ref="P37:T37"/>
    <mergeCell ref="C6:E6"/>
    <mergeCell ref="I7:M7"/>
    <mergeCell ref="P7:T7"/>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sheetPr codeName="Sheet21"/>
  <dimension ref="A1:F45"/>
  <sheetViews>
    <sheetView topLeftCell="A3" zoomScale="85" zoomScaleNormal="85" workbookViewId="0">
      <selection activeCell="B42" activeCellId="7" sqref="B4 B7:C10 B13:C16 B19:C22 B25:C28 B31:C34 B37:C40 B42:C45"/>
    </sheetView>
  </sheetViews>
  <sheetFormatPr defaultRowHeight="15"/>
  <cols>
    <col min="1" max="1" width="55.42578125" customWidth="1"/>
    <col min="2" max="2" width="11.42578125" customWidth="1"/>
    <col min="3" max="3" width="15.5703125" customWidth="1"/>
    <col min="4" max="4" width="11" customWidth="1"/>
    <col min="5" max="5" width="12" customWidth="1"/>
    <col min="6" max="6" width="12.5703125" customWidth="1"/>
    <col min="7" max="7" width="12.28515625" customWidth="1"/>
  </cols>
  <sheetData>
    <row r="1" spans="1:6" ht="17.25">
      <c r="A1" s="143" t="s">
        <v>129</v>
      </c>
      <c r="B1" s="143"/>
      <c r="F1" s="153">
        <f>'A-Input Water Use Data'!A6</f>
        <v>0</v>
      </c>
    </row>
    <row r="2" spans="1:6" ht="17.25">
      <c r="A2" s="153">
        <f>'A-Input Water Use Data'!A6</f>
        <v>0</v>
      </c>
      <c r="B2" s="236" t="s">
        <v>304</v>
      </c>
    </row>
    <row r="3" spans="1:6">
      <c r="A3" s="131" t="s">
        <v>133</v>
      </c>
      <c r="B3" s="212"/>
    </row>
    <row r="4" spans="1:6">
      <c r="A4" s="228" t="s">
        <v>275</v>
      </c>
      <c r="B4" s="300"/>
      <c r="C4" s="227" t="str">
        <f>'A-Input Water Use Data'!$B$10</f>
        <v>RCFM</v>
      </c>
    </row>
    <row r="6" spans="1:6">
      <c r="A6" s="207" t="s">
        <v>217</v>
      </c>
      <c r="B6" s="229" t="s">
        <v>278</v>
      </c>
      <c r="C6" s="226" t="s">
        <v>215</v>
      </c>
    </row>
    <row r="7" spans="1:6">
      <c r="A7" s="145" t="s">
        <v>234</v>
      </c>
      <c r="B7" s="301"/>
      <c r="C7" s="302"/>
    </row>
    <row r="8" spans="1:6">
      <c r="A8" s="145" t="s">
        <v>222</v>
      </c>
      <c r="B8" s="301"/>
      <c r="C8" s="302"/>
    </row>
    <row r="9" spans="1:6">
      <c r="A9" s="145" t="s">
        <v>223</v>
      </c>
      <c r="B9" s="301"/>
      <c r="C9" s="302"/>
    </row>
    <row r="10" spans="1:6">
      <c r="A10" s="210" t="s">
        <v>224</v>
      </c>
      <c r="B10" s="301"/>
      <c r="C10" s="302"/>
    </row>
    <row r="11" spans="1:6">
      <c r="A11" s="200"/>
      <c r="B11" s="200"/>
      <c r="C11" s="199"/>
    </row>
    <row r="12" spans="1:6">
      <c r="A12" s="207" t="s">
        <v>216</v>
      </c>
      <c r="B12" s="229" t="s">
        <v>278</v>
      </c>
      <c r="C12" s="226" t="s">
        <v>215</v>
      </c>
    </row>
    <row r="13" spans="1:6">
      <c r="A13" s="145" t="s">
        <v>225</v>
      </c>
      <c r="B13" s="301"/>
      <c r="C13" s="302"/>
    </row>
    <row r="14" spans="1:6">
      <c r="A14" s="145" t="s">
        <v>226</v>
      </c>
      <c r="B14" s="301"/>
      <c r="C14" s="302"/>
    </row>
    <row r="15" spans="1:6">
      <c r="A15" s="145" t="s">
        <v>227</v>
      </c>
      <c r="B15" s="301"/>
      <c r="C15" s="302"/>
    </row>
    <row r="16" spans="1:6">
      <c r="A16" s="210" t="s">
        <v>228</v>
      </c>
      <c r="B16" s="301"/>
      <c r="C16" s="302"/>
    </row>
    <row r="18" spans="1:3">
      <c r="A18" s="207" t="s">
        <v>212</v>
      </c>
      <c r="B18" s="229" t="s">
        <v>278</v>
      </c>
      <c r="C18" s="226" t="s">
        <v>210</v>
      </c>
    </row>
    <row r="19" spans="1:3">
      <c r="A19" s="145" t="s">
        <v>229</v>
      </c>
      <c r="B19" s="301"/>
      <c r="C19" s="302"/>
    </row>
    <row r="20" spans="1:3">
      <c r="A20" s="145" t="s">
        <v>230</v>
      </c>
      <c r="B20" s="301"/>
      <c r="C20" s="302"/>
    </row>
    <row r="21" spans="1:3">
      <c r="A21" s="145" t="s">
        <v>231</v>
      </c>
      <c r="B21" s="301"/>
      <c r="C21" s="302"/>
    </row>
    <row r="22" spans="1:3">
      <c r="A22" s="145" t="s">
        <v>232</v>
      </c>
      <c r="B22" s="301"/>
      <c r="C22" s="302"/>
    </row>
    <row r="24" spans="1:3">
      <c r="A24" s="207" t="s">
        <v>211</v>
      </c>
      <c r="B24" s="229" t="s">
        <v>278</v>
      </c>
      <c r="C24" s="226" t="s">
        <v>210</v>
      </c>
    </row>
    <row r="25" spans="1:3">
      <c r="A25" s="145" t="s">
        <v>233</v>
      </c>
      <c r="B25" s="301"/>
      <c r="C25" s="303"/>
    </row>
    <row r="26" spans="1:3">
      <c r="A26" s="145" t="s">
        <v>219</v>
      </c>
      <c r="B26" s="301"/>
      <c r="C26" s="303"/>
    </row>
    <row r="27" spans="1:3">
      <c r="A27" s="145" t="s">
        <v>220</v>
      </c>
      <c r="B27" s="301"/>
      <c r="C27" s="303"/>
    </row>
    <row r="28" spans="1:3">
      <c r="A28" s="145" t="s">
        <v>221</v>
      </c>
      <c r="B28" s="301"/>
      <c r="C28" s="303"/>
    </row>
    <row r="30" spans="1:3">
      <c r="A30" s="207" t="s">
        <v>276</v>
      </c>
      <c r="B30" s="229" t="s">
        <v>278</v>
      </c>
      <c r="C30" s="226" t="s">
        <v>210</v>
      </c>
    </row>
    <row r="31" spans="1:3">
      <c r="A31" s="201"/>
      <c r="B31" s="301"/>
      <c r="C31" s="304" t="str">
        <f>IF(C7=0,"0",(C19/(C7/1000000)))</f>
        <v>0</v>
      </c>
    </row>
    <row r="32" spans="1:3">
      <c r="A32" s="204"/>
      <c r="B32" s="301"/>
      <c r="C32" s="304" t="str">
        <f>IF(C8=0,"0",(C20/(C8/1000000)))</f>
        <v>0</v>
      </c>
    </row>
    <row r="33" spans="1:5">
      <c r="A33" s="200"/>
      <c r="B33" s="301"/>
      <c r="C33" s="304" t="str">
        <f>IF(C9=0,"0",(C21/(C9/1000000)))</f>
        <v>0</v>
      </c>
    </row>
    <row r="34" spans="1:5">
      <c r="A34" s="201"/>
      <c r="B34" s="301"/>
      <c r="C34" s="304" t="str">
        <f>IF(C10=0,"0",(C22/(C10/1000000)))</f>
        <v>0</v>
      </c>
    </row>
    <row r="35" spans="1:5">
      <c r="A35" s="204"/>
      <c r="B35" s="204"/>
      <c r="C35" s="199"/>
    </row>
    <row r="36" spans="1:5">
      <c r="A36" s="207" t="s">
        <v>277</v>
      </c>
      <c r="B36" s="229" t="s">
        <v>278</v>
      </c>
      <c r="C36" s="226" t="s">
        <v>210</v>
      </c>
    </row>
    <row r="37" spans="1:5">
      <c r="A37" s="201"/>
      <c r="B37" s="301"/>
      <c r="C37" s="305" t="str">
        <f>IF(C13=0,"0",(C25/(C13/1000000)))</f>
        <v>0</v>
      </c>
    </row>
    <row r="38" spans="1:5">
      <c r="A38" s="204"/>
      <c r="B38" s="301"/>
      <c r="C38" s="305" t="str">
        <f>IF(C14=0,"0",(C26/(C14/1000000)))</f>
        <v>0</v>
      </c>
    </row>
    <row r="39" spans="1:5">
      <c r="A39" s="202"/>
      <c r="B39" s="301"/>
      <c r="C39" s="305" t="str">
        <f>IF(C15=0,"0",(C27/(C15/1000000)))</f>
        <v>0</v>
      </c>
    </row>
    <row r="40" spans="1:5">
      <c r="A40" s="201"/>
      <c r="B40" s="301"/>
      <c r="C40" s="305" t="str">
        <f>IF(C16=0,"0",(C28/(C16/1000000)))</f>
        <v>0</v>
      </c>
    </row>
    <row r="41" spans="1:5">
      <c r="A41" s="200"/>
      <c r="B41" s="200"/>
      <c r="C41" s="199" t="s">
        <v>345</v>
      </c>
      <c r="E41" t="s">
        <v>346</v>
      </c>
    </row>
    <row r="42" spans="1:5">
      <c r="A42" s="202"/>
      <c r="B42" s="306">
        <f>C19-C20</f>
        <v>0</v>
      </c>
      <c r="C42" s="307">
        <f>B42*'A-Input Water Use Data'!B20</f>
        <v>0</v>
      </c>
      <c r="D42" s="50">
        <f>C25-C26</f>
        <v>0</v>
      </c>
      <c r="E42" s="259">
        <f>D42*'A-Input Water Use Data'!B21</f>
        <v>0</v>
      </c>
    </row>
    <row r="43" spans="1:5">
      <c r="A43" s="201"/>
      <c r="B43" s="308">
        <f>C20-C21</f>
        <v>0</v>
      </c>
      <c r="C43" s="307">
        <f>B43*'A-Input Water Use Data'!B20</f>
        <v>0</v>
      </c>
      <c r="D43" s="50">
        <f>C26-C27</f>
        <v>0</v>
      </c>
      <c r="E43" s="259">
        <f>D43*'A-Input Water Use Data'!B21</f>
        <v>0</v>
      </c>
    </row>
    <row r="44" spans="1:5">
      <c r="A44" s="200"/>
      <c r="B44" s="309">
        <f>C21-C22</f>
        <v>0</v>
      </c>
      <c r="C44" s="307">
        <f>B44*'A-Input Water Use Data'!B20</f>
        <v>0</v>
      </c>
      <c r="D44" s="50">
        <f>C27-C28</f>
        <v>0</v>
      </c>
      <c r="E44" s="259">
        <f>D44*'A-Input Water Use Data'!B21</f>
        <v>0</v>
      </c>
    </row>
    <row r="45" spans="1:5">
      <c r="A45" s="200"/>
      <c r="B45" s="310"/>
      <c r="C45" s="311">
        <f>SUM(C42:C44)</f>
        <v>0</v>
      </c>
      <c r="E45" s="260">
        <f>SUM(E42:E44)</f>
        <v>0</v>
      </c>
    </row>
  </sheetData>
  <sheetProtection password="8197" sheet="1" objects="1" scenarios="1"/>
  <dataValidations count="2">
    <dataValidation type="list" allowBlank="1" showInputMessage="1" showErrorMessage="1" sqref="B7:B10 B13:B16 B19:B22 B25:B28 B31:B34 B37:B40">
      <formula1>Years1</formula1>
    </dataValidation>
    <dataValidation type="list" allowBlank="1" showInputMessage="1" showErrorMessage="1" sqref="C4">
      <formula1>eGRIDs</formula1>
    </dataValidation>
  </dataValidations>
  <hyperlinks>
    <hyperlink ref="B2" location="Overview!A1" display="Return to Overview Page"/>
  </hyperlinks>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sheetPr codeName="Sheet22"/>
  <dimension ref="A1:E42"/>
  <sheetViews>
    <sheetView workbookViewId="0">
      <selection sqref="A1:E1048576"/>
    </sheetView>
  </sheetViews>
  <sheetFormatPr defaultRowHeight="15"/>
  <cols>
    <col min="1" max="1" width="29.140625" customWidth="1"/>
    <col min="2" max="2" width="11.28515625" customWidth="1"/>
    <col min="3" max="3" width="11.5703125" customWidth="1"/>
    <col min="4" max="5" width="11.5703125" bestFit="1" customWidth="1"/>
  </cols>
  <sheetData>
    <row r="1" spans="1:5" ht="17.25">
      <c r="B1" s="213">
        <f>'A-Input Water Use Data'!A6</f>
        <v>0</v>
      </c>
    </row>
    <row r="2" spans="1:5">
      <c r="D2" s="236" t="s">
        <v>304</v>
      </c>
    </row>
    <row r="3" spans="1:5" ht="21.75" customHeight="1">
      <c r="A3" s="213" t="s">
        <v>218</v>
      </c>
    </row>
    <row r="4" spans="1:5" ht="15" customHeight="1">
      <c r="A4" s="140" t="s">
        <v>213</v>
      </c>
      <c r="B4" s="211" t="str">
        <f>IF('C-Input-Annual Water Use'!C4="MROE","MROE",IF('C-Input-Annual Water Use'!C4="RCFM","RCFM",IF('C-Input-Annual Water Use'!C4="RFCW","RFCW",IF('C-Input-Annual Water Use'!C4="NYUP","NYUP",IF('C-Input-Annual Water Use'!C4="MROW","MROW",IF('C-Input-Annual Water Use'!C4="RFCE","RFCE"))))))</f>
        <v>RCFM</v>
      </c>
    </row>
    <row r="5" spans="1:5" ht="15" customHeight="1">
      <c r="A5" s="88" t="s">
        <v>5</v>
      </c>
      <c r="B5" s="239">
        <f>'C-Input-Annual Water Use'!B7</f>
        <v>0</v>
      </c>
      <c r="C5" s="240">
        <f>'C-Input-Annual Water Use'!B8</f>
        <v>0</v>
      </c>
      <c r="D5" s="241">
        <f>'C-Input-Annual Water Use'!B9</f>
        <v>0</v>
      </c>
      <c r="E5" s="242">
        <f>'C-Input-Annual Water Use'!B10</f>
        <v>0</v>
      </c>
    </row>
    <row r="6" spans="1:5" ht="15" customHeight="1">
      <c r="A6" s="97" t="s">
        <v>84</v>
      </c>
      <c r="B6" s="134">
        <f>IF('C-Input-Annual Water Use'!C4="MROE",'Annual Use Worksheet'!I9,IF('C-Input-Annual Water Use'!C4="RCFM",'Annual Use Worksheet'!J9,IF('C-Input-Annual Water Use'!C4="RFCW",'Annual Use Worksheet'!K9,IF('C-Input-Annual Water Use'!C4="NYUP",'Annual Use Worksheet'!L9,IF('C-Input-Annual Water Use'!C4="MROW",'Annual Use Worksheet'!M9,IF('C-Input-Annual Water Use'!C4="RFCE","RFCE"))))))</f>
        <v>0</v>
      </c>
      <c r="C6" s="208">
        <f>IF('C-Input-Annual Water Use'!C4="MROE",'Annual Use Worksheet'!I19,IF('C-Input-Annual Water Use'!C4="RCFM",'Annual Use Worksheet'!J19,IF('C-Input-Annual Water Use'!C4="RFCW",'Annual Use Worksheet'!K19,IF('C-Input-Annual Water Use'!C4="NYUP",'Annual Use Worksheet'!L19,IF('C-Input-Annual Water Use'!C4="MROW",'Annual Use Worksheet'!M19,IF('C-Input-Annual Water Use'!C4="RFCE","RFCE"))))))</f>
        <v>0</v>
      </c>
      <c r="D6" s="208">
        <f>IF('C-Input-Annual Water Use'!C4="MROE",'Annual Use Worksheet'!I29,IF('C-Input-Annual Water Use'!C4="RCFM",'Annual Use Worksheet'!J29,IF('C-Input-Annual Water Use'!C4="RFCW",'Annual Use Worksheet'!K29,IF('C-Input-Annual Water Use'!C4="NYUP",'Annual Use Worksheet'!L29,IF('C-Input-Annual Water Use'!C4="MROW",'Annual Use Worksheet'!M29,IF('C-Input-Annual Water Use'!C4="RFCE","RFCE"))))))</f>
        <v>0</v>
      </c>
      <c r="E6" s="208">
        <f>IF('C-Input-Annual Water Use'!C4="MROE",'Annual Use Worksheet'!I39,IF('C-Input-Annual Water Use'!C4="RCFM",'Annual Use Worksheet'!J39,IF('C-Input-Annual Water Use'!C4="RFCW",'Annual Use Worksheet'!K39,IF('C-Input-Annual Water Use'!C4="NYUP",'Annual Use Worksheet'!L39,IF('C-Input-Annual Water Use'!C4="MROW",'Annual Use Worksheet'!M39,IF('C-Input-Annual Water Use'!C4="RFCE","RFCE"))))))</f>
        <v>0</v>
      </c>
    </row>
    <row r="7" spans="1:5" ht="15" customHeight="1">
      <c r="A7" s="97" t="s">
        <v>85</v>
      </c>
      <c r="B7" s="134">
        <f>IF('C-Input-Annual Water Use'!C4="MROE",'Annual Use Worksheet'!I10,IF('C-Input-Annual Water Use'!C4="RCFM",'Annual Use Worksheet'!J10,IF('C-Input-Annual Water Use'!C4="RFCW",'Annual Use Worksheet'!K10,IF('C-Input-Annual Water Use'!C4="NYUP",'Annual Use Worksheet'!L10,IF('C-Input-Annual Water Use'!C4="MROW",'Annual Use Worksheet'!M10,IF('C-Input-Annual Water Use'!C4="RFCE","RFCE"))))))</f>
        <v>0</v>
      </c>
      <c r="C7" s="208">
        <f>IF('C-Input-Annual Water Use'!C4="MROE",'Annual Use Worksheet'!I20,IF('C-Input-Annual Water Use'!C4="RCFM",'Annual Use Worksheet'!J20,IF('C-Input-Annual Water Use'!C4="RFCW",'Annual Use Worksheet'!K20,IF('C-Input-Annual Water Use'!C4="NYUP",'Annual Use Worksheet'!L20,IF('C-Input-Annual Water Use'!C4="MROW",'Annual Use Worksheet'!M20,IF('C-Input-Annual Water Use'!C4="RFCE","RFCE"))))))</f>
        <v>0</v>
      </c>
      <c r="D7" s="208">
        <f>IF('C-Input-Annual Water Use'!C4="MROE",'Annual Use Worksheet'!I30,IF('C-Input-Annual Water Use'!C4="RCFM",'Annual Use Worksheet'!J30,IF('C-Input-Annual Water Use'!C4="RFCW",'Annual Use Worksheet'!K30,IF('C-Input-Annual Water Use'!C4="NYUP",'Annual Use Worksheet'!L30,IF('C-Input-Annual Water Use'!C4="MROW",'Annual Use Worksheet'!M30,IF('C-Input-Annual Water Use'!C4="RFCE","RFCE"))))))</f>
        <v>0</v>
      </c>
      <c r="E7" s="208">
        <f>IF('C-Input-Annual Water Use'!C4="MROE",'Annual Use Worksheet'!I40,IF('C-Input-Annual Water Use'!C4="RCFM",'Annual Use Worksheet'!J40,IF('C-Input-Annual Water Use'!C4="RFCW",'Annual Use Worksheet'!K40,IF('C-Input-Annual Water Use'!C4="NYUP",'Annual Use Worksheet'!L40,IF('C-Input-Annual Water Use'!C4="MROW",'Annual Use Worksheet'!M40,IF('C-Input-Annual Water Use'!C4="RFCE","RFCE"))))))</f>
        <v>0</v>
      </c>
    </row>
    <row r="8" spans="1:5" ht="15" customHeight="1">
      <c r="A8" s="97" t="s">
        <v>86</v>
      </c>
      <c r="B8" s="134">
        <f>IF('C-Input-Annual Water Use'!C4="MROE",'Annual Use Worksheet'!I11,IF('C-Input-Annual Water Use'!C4="RCFM",'Annual Use Worksheet'!J11,IF('C-Input-Annual Water Use'!C4="RFCW",'Annual Use Worksheet'!K11,IF('C-Input-Annual Water Use'!C4="NYUP",'Annual Use Worksheet'!L11,IF('C-Input-Annual Water Use'!C4="MROW",'Annual Use Worksheet'!M11,IF('C-Input-Annual Water Use'!C4="RFCE","RFCE"))))))</f>
        <v>0</v>
      </c>
      <c r="C8" s="208">
        <f>IF('C-Input-Annual Water Use'!C4="MROE",'Annual Use Worksheet'!I21,IF('C-Input-Annual Water Use'!C4="RCFM",'Annual Use Worksheet'!J21,IF('C-Input-Annual Water Use'!C4="RFCW",'Annual Use Worksheet'!K21,IF('C-Input-Annual Water Use'!C4="NYUP",'Annual Use Worksheet'!L21,IF('C-Input-Annual Water Use'!C4="MROW",'Annual Use Worksheet'!M21,IF('C-Input-Annual Water Use'!C4="RFCE","RFCE"))))))</f>
        <v>0</v>
      </c>
      <c r="D8" s="208">
        <f>IF('C-Input-Annual Water Use'!C4="MROE",'Annual Use Worksheet'!I31,IF('C-Input-Annual Water Use'!C4="RCFM",'Annual Use Worksheet'!J31,IF('C-Input-Annual Water Use'!C4="RFCW",'Annual Use Worksheet'!K31,IF('C-Input-Annual Water Use'!C4="NYUP",'Annual Use Worksheet'!L31,IF('C-Input-Annual Water Use'!C4="MROW",'Annual Use Worksheet'!M31,IF('C-Input-Annual Water Use'!C4="RFCE","RFCE"))))))</f>
        <v>0</v>
      </c>
      <c r="E8" s="208">
        <f>IF('C-Input-Annual Water Use'!C4="MROE",'Annual Use Worksheet'!I41,IF('C-Input-Annual Water Use'!C4="RCFM",'Annual Use Worksheet'!J41,IF('C-Input-Annual Water Use'!C4="RFCW",'Annual Use Worksheet'!K41,IF('C-Input-Annual Water Use'!C4="NYUP",'Annual Use Worksheet'!L41,IF('C-Input-Annual Water Use'!C4="MROW",'Annual Use Worksheet'!M41,IF('C-Input-Annual Water Use'!C4="RFCE","RFCE"))))))</f>
        <v>0</v>
      </c>
    </row>
    <row r="9" spans="1:5" ht="15" customHeight="1">
      <c r="A9" s="97" t="s">
        <v>87</v>
      </c>
      <c r="B9" s="134">
        <f>IF('C-Input-Annual Water Use'!C4="MROE",'Annual Use Worksheet'!I12,IF('C-Input-Annual Water Use'!C4="RCFM",'Annual Use Worksheet'!J12,IF('C-Input-Annual Water Use'!C4="RFCW",'Annual Use Worksheet'!K12,IF('C-Input-Annual Water Use'!C4="NYUP",'Annual Use Worksheet'!L12,IF('C-Input-Annual Water Use'!C4="MROW",'Annual Use Worksheet'!M12,IF('C-Input-Annual Water Use'!C4="RFCE","RFCE"))))))</f>
        <v>0</v>
      </c>
      <c r="C9" s="208">
        <f>IF('C-Input-Annual Water Use'!C4="MROE",'Annual Use Worksheet'!I22,IF('C-Input-Annual Water Use'!C4="RCFM",'Annual Use Worksheet'!J22,IF('C-Input-Annual Water Use'!C4="RFCW",'Annual Use Worksheet'!K22,IF('C-Input-Annual Water Use'!C4="NYUP",'Annual Use Worksheet'!L22,IF('C-Input-Annual Water Use'!C4="MROW",'Annual Use Worksheet'!M22,IF('C-Input-Annual Water Use'!C4="RFCE","RFCE"))))))</f>
        <v>0</v>
      </c>
      <c r="D9" s="208">
        <f>IF('C-Input-Annual Water Use'!C4="MROE",'Annual Use Worksheet'!I32,IF('C-Input-Annual Water Use'!C4="RCFM",'Annual Use Worksheet'!J32,IF('C-Input-Annual Water Use'!C4="RFCW",'Annual Use Worksheet'!K32,IF('C-Input-Annual Water Use'!C4="NYUP",'Annual Use Worksheet'!L32,IF('C-Input-Annual Water Use'!C4="MROW",'Annual Use Worksheet'!M32,IF('C-Input-Annual Water Use'!C4="RFCE","RFCE"))))))</f>
        <v>0</v>
      </c>
      <c r="E9" s="208">
        <f>IF('C-Input-Annual Water Use'!C4="MROE",'Annual Use Worksheet'!I42,IF('C-Input-Annual Water Use'!C4="RCFM",'Annual Use Worksheet'!J42,IF('C-Input-Annual Water Use'!C4="RFCW",'Annual Use Worksheet'!K42,IF('C-Input-Annual Water Use'!C4="NYUP",'Annual Use Worksheet'!L42,IF('C-Input-Annual Water Use'!C4="MROW",'Annual Use Worksheet'!M42,IF('C-Input-Annual Water Use'!C4="RFCE","RFCE"))))))</f>
        <v>0</v>
      </c>
    </row>
    <row r="10" spans="1:5" ht="15" customHeight="1">
      <c r="A10" s="97" t="s">
        <v>88</v>
      </c>
      <c r="B10" s="139">
        <f>IF('C-Input-Annual Water Use'!C4="MROE",'Annual Use Worksheet'!I13,IF('C-Input-Annual Water Use'!C4="RCFM",'Annual Use Worksheet'!J13,IF('C-Input-Annual Water Use'!C4="RFCW",'Annual Use Worksheet'!K13,IF('C-Input-Annual Water Use'!C4="NYUP",'Annual Use Worksheet'!L13,IF('C-Input-Annual Water Use'!C4="MROW",'Annual Use Worksheet'!M13,IF('C-Input-Annual Water Use'!C4="RFCE","RFCE"))))))</f>
        <v>0</v>
      </c>
      <c r="C10" s="209">
        <f>IF('C-Input-Annual Water Use'!C4="MROE",'Annual Use Worksheet'!I23,IF('C-Input-Annual Water Use'!C4="RCFM",'Annual Use Worksheet'!J23,IF('C-Input-Annual Water Use'!C4="RFCW",'Annual Use Worksheet'!K23,IF('C-Input-Annual Water Use'!C4="NYUP",'Annual Use Worksheet'!L23,IF('C-Input-Annual Water Use'!C4="MROW",'Annual Use Worksheet'!M23,IF('C-Input-Annual Water Use'!C4="RFCE","RFCE"))))))</f>
        <v>0</v>
      </c>
      <c r="D10" s="209">
        <f>IF('C-Input-Annual Water Use'!C4="MROE",'Annual Use Worksheet'!I33,IF('C-Input-Annual Water Use'!C4="RCFM",'Annual Use Worksheet'!J33,IF('C-Input-Annual Water Use'!C4="RFCW",'Annual Use Worksheet'!K33,IF('C-Input-Annual Water Use'!C4="NYUP",'Annual Use Worksheet'!L33,IF('C-Input-Annual Water Use'!C4="MROW",'Annual Use Worksheet'!M33,IF('C-Input-Annual Water Use'!C4="RFCE","RFCE"))))))</f>
        <v>0</v>
      </c>
      <c r="E10" s="209">
        <f>IF('C-Input-Annual Water Use'!C4="MROE",'Annual Use Worksheet'!I43,IF('C-Input-Annual Water Use'!C4="RCFM",'Annual Use Worksheet'!J43,IF('C-Input-Annual Water Use'!C4="RFCW",'Annual Use Worksheet'!K43,IF('C-Input-Annual Water Use'!C4="NYUP",'Annual Use Worksheet'!L43,IF('C-Input-Annual Water Use'!C4="MROW",'Annual Use Worksheet'!M43,IF('C-Input-Annual Water Use'!C4="RFCE","RFCE"))))))</f>
        <v>0</v>
      </c>
    </row>
    <row r="11" spans="1:5" ht="15" customHeight="1">
      <c r="A11" s="97" t="s">
        <v>89</v>
      </c>
      <c r="B11" s="134">
        <f>IF('C-Input-Annual Water Use'!C4="MROE",'Annual Use Worksheet'!I14,IF('C-Input-Annual Water Use'!C4="RCFM",'Annual Use Worksheet'!J14,IF('C-Input-Annual Water Use'!C4="RFCW",'Annual Use Worksheet'!K14,IF('C-Input-Annual Water Use'!C4="NYUP",'Annual Use Worksheet'!L14,IF('C-Input-Annual Water Use'!C4="MROW",'Annual Use Worksheet'!M14,IF('C-Input-Annual Water Use'!C4="RFCE","RFCE"))))))</f>
        <v>0</v>
      </c>
      <c r="C11" s="208">
        <f>IF('C-Input-Annual Water Use'!C4="MROE",'Annual Use Worksheet'!I24,IF('C-Input-Annual Water Use'!C4="RCFM",'Annual Use Worksheet'!J24,IF('C-Input-Annual Water Use'!C4="RFCW",'Annual Use Worksheet'!K24,IF('C-Input-Annual Water Use'!C4="NYUP",'Annual Use Worksheet'!L24,IF('C-Input-Annual Water Use'!C4="MROW",'Annual Use Worksheet'!M24,IF('C-Input-Annual Water Use'!C4="RFCE","RFCE"))))))</f>
        <v>0</v>
      </c>
      <c r="D11" s="208">
        <f>IF('C-Input-Annual Water Use'!C4="MROE",'Annual Use Worksheet'!I34,IF('C-Input-Annual Water Use'!C4="RCFM",'Annual Use Worksheet'!J34,IF('C-Input-Annual Water Use'!C4="RFCW",'Annual Use Worksheet'!K34,IF('C-Input-Annual Water Use'!C4="NYUP",'Annual Use Worksheet'!L34,IF('C-Input-Annual Water Use'!C4="MROW",'Annual Use Worksheet'!M34,IF('C-Input-Annual Water Use'!C4="RFCE","RFCE"))))))</f>
        <v>0</v>
      </c>
      <c r="E11" s="208">
        <f>IF('C-Input-Annual Water Use'!C4="MROE",'Annual Use Worksheet'!I44,IF('C-Input-Annual Water Use'!C4="RCFM",'Annual Use Worksheet'!J44,IF('C-Input-Annual Water Use'!C4="RFCW",'Annual Use Worksheet'!K44,IF('C-Input-Annual Water Use'!C4="NYUP",'Annual Use Worksheet'!L44,IF('C-Input-Annual Water Use'!C4="MROW",'Annual Use Worksheet'!M44,IF('C-Input-Annual Water Use'!C4="RFCE","RFCE"))))))</f>
        <v>0</v>
      </c>
    </row>
    <row r="12" spans="1:5" ht="15" customHeight="1">
      <c r="A12" s="97" t="s">
        <v>90</v>
      </c>
      <c r="B12" s="134">
        <f>IF('C-Input-Annual Water Use'!C4="MROE",'Annual Use Worksheet'!I15,IF('C-Input-Annual Water Use'!C4="RCFM",'Annual Use Worksheet'!J15,IF('C-Input-Annual Water Use'!C4="RFCW",'Annual Use Worksheet'!K15,IF('C-Input-Annual Water Use'!C4="NYUP",'Annual Use Worksheet'!L15,IF('C-Input-Annual Water Use'!C4="MROW",'Annual Use Worksheet'!M15,IF('C-Input-Annual Water Use'!C4="RFCE","RFCE"))))))</f>
        <v>0</v>
      </c>
      <c r="C12" s="208">
        <f>IF('C-Input-Annual Water Use'!C4="MROE",'Annual Use Worksheet'!I25,IF('C-Input-Annual Water Use'!C4="RCFM",'Annual Use Worksheet'!J25,IF('C-Input-Annual Water Use'!C4="RFCW",'Annual Use Worksheet'!K25,IF('C-Input-Annual Water Use'!C4="NYUP",'Annual Use Worksheet'!L25,IF('C-Input-Annual Water Use'!C4="MROW",'Annual Use Worksheet'!M25,IF('C-Input-Annual Water Use'!C4="RFCE","RFCE"))))))</f>
        <v>0</v>
      </c>
      <c r="D12" s="208">
        <f>IF('C-Input-Annual Water Use'!C4="MROE",'Annual Use Worksheet'!I35,IF('C-Input-Annual Water Use'!C4="RCFM",'Annual Use Worksheet'!J35,IF('C-Input-Annual Water Use'!C4="RFCW",'Annual Use Worksheet'!K35,IF('C-Input-Annual Water Use'!C4="NYUP",'Annual Use Worksheet'!L35,IF('C-Input-Annual Water Use'!C4="MROW",'Annual Use Worksheet'!M35,IF('C-Input-Annual Water Use'!C4="RFCE","RFCE"))))))</f>
        <v>0</v>
      </c>
      <c r="E12" s="208">
        <f>IF('C-Input-Annual Water Use'!C4="MROE",'Annual Use Worksheet'!I45,IF('C-Input-Annual Water Use'!C4="RCFM",'Annual Use Worksheet'!J45,IF('C-Input-Annual Water Use'!C4="RFCW",'Annual Use Worksheet'!K45,IF('C-Input-Annual Water Use'!C4="NYUP",'Annual Use Worksheet'!L45,IF('C-Input-Annual Water Use'!C4="MROW",'Annual Use Worksheet'!M45,IF('C-Input-Annual Water Use'!C4="RFCE","RFCE"))))))</f>
        <v>0</v>
      </c>
    </row>
    <row r="13" spans="1:5" ht="15" customHeight="1"/>
    <row r="14" spans="1:5" ht="15" customHeight="1">
      <c r="A14" s="213" t="s">
        <v>214</v>
      </c>
      <c r="C14" s="202"/>
      <c r="D14" s="206"/>
      <c r="E14" s="202"/>
    </row>
    <row r="15" spans="1:5" ht="32.25" customHeight="1">
      <c r="A15" s="140" t="s">
        <v>235</v>
      </c>
      <c r="B15" s="211" t="str">
        <f>IF(B4="MROE","MROE",IF(B4="RCFM","RCFM",IF(B4="RFCW","RFCW",IF(B4="NYUP","NYUP",IF(B4="MROW","MROW",IF(B4="RFCE","RFCE"))))))</f>
        <v>RCFM</v>
      </c>
      <c r="C15" s="202"/>
      <c r="D15" s="203"/>
      <c r="E15" s="205"/>
    </row>
    <row r="16" spans="1:5" ht="15" customHeight="1">
      <c r="A16" s="88" t="s">
        <v>5</v>
      </c>
      <c r="B16" s="239">
        <f>'C-Input-Annual Water Use'!B7</f>
        <v>0</v>
      </c>
      <c r="C16" s="240">
        <f>'C-Input-Annual Water Use'!B8</f>
        <v>0</v>
      </c>
      <c r="D16" s="241">
        <f>'C-Input-Annual Water Use'!B9</f>
        <v>0</v>
      </c>
      <c r="E16" s="242">
        <f>'C-Input-Annual Water Use'!B10</f>
        <v>0</v>
      </c>
    </row>
    <row r="17" spans="1:5" ht="15" customHeight="1">
      <c r="A17" s="97" t="s">
        <v>84</v>
      </c>
      <c r="B17" s="134">
        <f>IF(B4="MROE",'Annual Use Worksheet'!P9,IF(B4="RCFM",'Annual Use Worksheet'!Q9,IF(B4="RFCW",'Annual Use Worksheet'!R9,IF(B4="NYUP",'Annual Use Worksheet'!S9,IF(B4="MROW",'Annual Use Worksheet'!T9,IF(B4="RFCE","RFCE"))))))</f>
        <v>0</v>
      </c>
      <c r="C17" s="208">
        <f>IF(B4="MROE",'Annual Use Worksheet'!P19,IF(B4="RCFM",'Annual Use Worksheet'!Q19,IF(B4="RFCW",'Annual Use Worksheet'!R19,IF(B4="NYUP",'Annual Use Worksheet'!S19,IF(B4="MROW",'Annual Use Worksheet'!T19,IF(B4="RFCE","RFCE"))))))</f>
        <v>0</v>
      </c>
      <c r="D17" s="208">
        <f>IF(B4="MROE",'Annual Use Worksheet'!P29,IF(B4="RCFM",'Annual Use Worksheet'!Q29,IF(B4="RFCW",'Annual Use Worksheet'!R29,IF(B4="NYUP",'Annual Use Worksheet'!S29,IF(B4="MROW",'Annual Use Worksheet'!T29,IF(B4="RFCE","RFCE"))))))</f>
        <v>0</v>
      </c>
      <c r="E17" s="134">
        <f>IF(B4="MROE",'Annual Use Worksheet'!P39,IF(B4="RCFM",'Annual Use Worksheet'!Q39,IF(B4="RFCW",'Annual Use Worksheet'!R39,IF(B4="NYUP",'Annual Use Worksheet'!S39,IF(B4="MROW",'Annual Use Worksheet'!T39,IF(B4="RFCE","RFCE"))))))</f>
        <v>0</v>
      </c>
    </row>
    <row r="18" spans="1:5" ht="15" customHeight="1">
      <c r="A18" s="97" t="s">
        <v>85</v>
      </c>
      <c r="B18" s="134">
        <f>IF(B4="MROE",'Annual Use Worksheet'!P10,IF(B4="RCFM",'Annual Use Worksheet'!Q10,IF(B4="RFCW",'Annual Use Worksheet'!R10,IF(B4="NYUP",'Annual Use Worksheet'!S10,IF(B4="MROW",'Annual Use Worksheet'!T10,IF(B4="RFCE","RFCE"))))))</f>
        <v>0</v>
      </c>
      <c r="C18" s="208">
        <f>IF(B4="MROE",'Annual Use Worksheet'!P20,IF(B4="RCFM",'Annual Use Worksheet'!Q20,IF(B4="RFCW",'Annual Use Worksheet'!R20,IF(B4="NYUP",'Annual Use Worksheet'!S20,IF(B4="MROW",'Annual Use Worksheet'!T20,IF(B4="RFCE","RFCE"))))))</f>
        <v>0</v>
      </c>
      <c r="D18" s="208">
        <f>IF(B4="MROE",'Annual Use Worksheet'!P30,IF(B4="RCFM",'Annual Use Worksheet'!Q30,IF(B4="RFCW",'Annual Use Worksheet'!R30,IF(B4="NYUP",'Annual Use Worksheet'!S30,IF(B4="MROW",'Annual Use Worksheet'!T30,IF(B4="RFCE","RFCE"))))))</f>
        <v>0</v>
      </c>
      <c r="E18" s="134">
        <f>IF(B4="MROE",'Annual Use Worksheet'!P40,IF(B4="RCFM",'Annual Use Worksheet'!Q40,IF(B4="RFCW",'Annual Use Worksheet'!R40,IF(B4="NYUP",'Annual Use Worksheet'!S40,IF(B4="MROW",'Annual Use Worksheet'!T40,IF(B4="RFCE","RFCE"))))))</f>
        <v>0</v>
      </c>
    </row>
    <row r="19" spans="1:5" ht="15" customHeight="1">
      <c r="A19" s="97" t="s">
        <v>86</v>
      </c>
      <c r="B19" s="134">
        <f>IF(B4="MROE",'Annual Use Worksheet'!P11,IF(B4="RCFM",'Annual Use Worksheet'!Q11,IF(B4="RFCW",'Annual Use Worksheet'!R11,IF(B4="NYUP",'Annual Use Worksheet'!S11,IF(B4="MROW",'Annual Use Worksheet'!T11,IF(B4="RFCE","RFCE"))))))</f>
        <v>0</v>
      </c>
      <c r="C19" s="208">
        <f>IF(B4="MROE",'Annual Use Worksheet'!P21,IF(B4="RCFM",'Annual Use Worksheet'!Q21,IF(B4="RFCW",'Annual Use Worksheet'!R21,IF(B4="NYUP",'Annual Use Worksheet'!S21,IF(B4="MROW",'Annual Use Worksheet'!T21,IF(B4="RFCE","RFCE"))))))</f>
        <v>0</v>
      </c>
      <c r="D19" s="208">
        <f>IF(B4="MROE",'Annual Use Worksheet'!P31,IF(B4="RCFM",'Annual Use Worksheet'!Q31,IF(B4="RFCW",'Annual Use Worksheet'!R31,IF(B4="NYUP",'Annual Use Worksheet'!S31,IF(B4="MROW",'Annual Use Worksheet'!T31,IF(B4="RFCE","RFCE"))))))</f>
        <v>0</v>
      </c>
      <c r="E19" s="134">
        <f>IF(B4="MROE",'Annual Use Worksheet'!P41,IF(B4="RCFM",'Annual Use Worksheet'!Q41,IF(B4="RFCW",'Annual Use Worksheet'!R41,IF(B4="NYUP",'Annual Use Worksheet'!S41,IF(B4="MROW",'Annual Use Worksheet'!T41,IF(B4="RFCE","RFCE"))))))</f>
        <v>0</v>
      </c>
    </row>
    <row r="20" spans="1:5" ht="15" customHeight="1">
      <c r="A20" s="97" t="s">
        <v>87</v>
      </c>
      <c r="B20" s="134">
        <f>IF(B4="MROE",'Annual Use Worksheet'!P12,IF(B4="RCFM",'Annual Use Worksheet'!Q12,IF(B4="RFCW",'Annual Use Worksheet'!R12,IF(B4="NYUP",'Annual Use Worksheet'!S12,IF(B4="MROW",'Annual Use Worksheet'!T12,IF(B4="RFCE","RFCE"))))))</f>
        <v>0</v>
      </c>
      <c r="C20" s="208">
        <f>IF(B4="MROE",'Annual Use Worksheet'!P22,IF(B4="RCFM",'Annual Use Worksheet'!Q22,IF(B4="RFCW",'Annual Use Worksheet'!R22,IF(B4="NYUP",'Annual Use Worksheet'!S22,IF(B4="MROW",'Annual Use Worksheet'!T22,IF(B4="RFCE","RFCE"))))))</f>
        <v>0</v>
      </c>
      <c r="D20" s="208">
        <f>IF(B4="MROE",'Annual Use Worksheet'!P32,IF(B4="RCFM",'Annual Use Worksheet'!Q32,IF(B4="RFCW",'Annual Use Worksheet'!R32,IF(B4="NYUP",'Annual Use Worksheet'!S32,IF(B4="MROW",'Annual Use Worksheet'!T32,IF(B4="RFCE","RFCE"))))))</f>
        <v>0</v>
      </c>
      <c r="E20" s="134">
        <f>IF(B4="MROE",'Annual Use Worksheet'!P42,IF(B4="RCFM",'Annual Use Worksheet'!Q42,IF(B4="RFCW",'Annual Use Worksheet'!R42,IF(B4="NYUP",'Annual Use Worksheet'!S42,IF(B4="MROW",'Annual Use Worksheet'!T42,IF(B4="RFCE","RFCE"))))))</f>
        <v>0</v>
      </c>
    </row>
    <row r="21" spans="1:5" ht="15" customHeight="1">
      <c r="A21" s="97" t="s">
        <v>88</v>
      </c>
      <c r="B21" s="139">
        <f>IF(B4="MROE",'Annual Use Worksheet'!P13,IF(B4="RCFM",'Annual Use Worksheet'!Q13,IF(B4="RFCW",'Annual Use Worksheet'!R13,IF(B4="NYUP",'Annual Use Worksheet'!S13,IF(B4="MROW",'Annual Use Worksheet'!T13,IF(B4="RFCE","RFCE"))))))</f>
        <v>0</v>
      </c>
      <c r="C21" s="209">
        <f>IF(B4="MROE",'Annual Use Worksheet'!P23,IF(B4="RCFM",'Annual Use Worksheet'!Q23,IF(B4="RFCW",'Annual Use Worksheet'!R23,IF(B4="NYUP",'Annual Use Worksheet'!S23,IF(B4="MROW",'Annual Use Worksheet'!T23,IF(B4="RFCE","RFCE"))))))</f>
        <v>0</v>
      </c>
      <c r="D21" s="209">
        <f>IF(B4="MROE",'Annual Use Worksheet'!P33,IF(B4="RCFM",'Annual Use Worksheet'!Q33,IF(B4="RFCW",'Annual Use Worksheet'!R33,IF(B4="NYUP",'Annual Use Worksheet'!S33,IF(B4="MROW",'Annual Use Worksheet'!T33,IF(B4="RFCE","RFCE"))))))</f>
        <v>0</v>
      </c>
      <c r="E21" s="139">
        <f>IF(B4="MROE",'Annual Use Worksheet'!P43,IF(B4="RCFM",'Annual Use Worksheet'!Q43,IF(B4="RFCW",'Annual Use Worksheet'!R43,IF(B4="NYUP",'Annual Use Worksheet'!S43,IF(B4="MROW",'Annual Use Worksheet'!T43,IF(B4="RFCE","RFCE"))))))</f>
        <v>0</v>
      </c>
    </row>
    <row r="22" spans="1:5" ht="15" customHeight="1">
      <c r="A22" s="97" t="s">
        <v>89</v>
      </c>
      <c r="B22" s="134">
        <f>IF(B4="MROE",'Annual Use Worksheet'!P14,IF(B4="RCFM",'Annual Use Worksheet'!Q14,IF(B4="RFCW",'Annual Use Worksheet'!R14,IF(B4="NYUP",'Annual Use Worksheet'!S14,IF(B4="MROW",'Annual Use Worksheet'!T14,IF(B4="RFCE","RFCE"))))))</f>
        <v>0</v>
      </c>
      <c r="C22" s="208">
        <f>IF(B4="MROE",'Annual Use Worksheet'!P24,IF(B4="RCFM",'Annual Use Worksheet'!Q24,IF(B4="RFCW",'Annual Use Worksheet'!R24,IF(B4="NYUP",'Annual Use Worksheet'!S24,IF(B4="MROW",'Annual Use Worksheet'!T24,IF(B4="RFCE","RFCE"))))))</f>
        <v>0</v>
      </c>
      <c r="D22" s="208">
        <f>IF(B4="MROE",'Annual Use Worksheet'!P34,IF(B4="RCFM",'Annual Use Worksheet'!Q34,IF(B4="RFCW",'Annual Use Worksheet'!R34,IF(B4="NYUP",'Annual Use Worksheet'!S34,IF(B4="MROW",'Annual Use Worksheet'!T34,IF(B4="RFCE","RFCE"))))))</f>
        <v>0</v>
      </c>
      <c r="E22" s="134">
        <f>IF(B4="MROE",'Annual Use Worksheet'!P44,IF(B4="RCFM",'Annual Use Worksheet'!Q44,IF(B4="RFCW",'Annual Use Worksheet'!R44,IF(B4="NYUP",'Annual Use Worksheet'!S44,IF(B4="MROW",'Annual Use Worksheet'!T44,IF(B4="RFCE","RFCE"))))))</f>
        <v>0</v>
      </c>
    </row>
    <row r="23" spans="1:5" ht="15" customHeight="1">
      <c r="A23" s="97" t="s">
        <v>90</v>
      </c>
      <c r="B23" s="134">
        <f>IF(B4="MROE",'Annual Use Worksheet'!P15,IF(B4="RCFM",'Annual Use Worksheet'!Q15,IF(B4="RFCW",'Annual Use Worksheet'!R15,IF(B4="NYUP",'Annual Use Worksheet'!S15,IF(B4="MROW",'Annual Use Worksheet'!T15,IF(B4="RFCE","RFCE"))))))</f>
        <v>0</v>
      </c>
      <c r="C23" s="208">
        <f>IF(B4="MROE",'Annual Use Worksheet'!P25,IF(B4="RCFM",'Annual Use Worksheet'!Q25,IF(B4="RFCW",'Annual Use Worksheet'!R25,IF(B4="NYUP",'Annual Use Worksheet'!S25,IF(B4="MROW",'Annual Use Worksheet'!T25,IF(B4="RFCE","RFCE"))))))</f>
        <v>0</v>
      </c>
      <c r="D23" s="208">
        <f>IF(B4="MROE",'Annual Use Worksheet'!P35,IF(B4="RCFM",'Annual Use Worksheet'!Q35,IF(B4="RFCW",'Annual Use Worksheet'!R35,IF(B4="NYUP",'Annual Use Worksheet'!S35,IF(B4="MROW",'Annual Use Worksheet'!T35,IF(B4="RFCE","RFCE"))))))</f>
        <v>0</v>
      </c>
      <c r="E23" s="208">
        <f>IF(B4="MROE",'Annual Use Worksheet'!P45,IF(B4="RCFM",'Annual Use Worksheet'!Q45,IF(B4="RFCW",'Annual Use Worksheet'!R45,IF(B4="NYUP",'Annual Use Worksheet'!S45,IF(B4="MROW",'Annual Use Worksheet'!T45,IF(B4="RFCE","RFCE"))))))</f>
        <v>0</v>
      </c>
    </row>
    <row r="24" spans="1:5" ht="15" customHeight="1"/>
    <row r="25" spans="1:5" ht="15" customHeight="1">
      <c r="A25" s="213" t="s">
        <v>270</v>
      </c>
    </row>
    <row r="26" spans="1:5" ht="30" customHeight="1">
      <c r="A26" s="140" t="s">
        <v>236</v>
      </c>
      <c r="B26" s="211" t="str">
        <f>'C-Input-Annual Water Use'!C4</f>
        <v>RCFM</v>
      </c>
      <c r="C26" s="202"/>
      <c r="D26" s="203"/>
      <c r="E26" s="205"/>
    </row>
    <row r="27" spans="1:5" ht="15" customHeight="1">
      <c r="A27" s="88" t="s">
        <v>5</v>
      </c>
      <c r="B27" s="239">
        <f>'C-Input-Annual Water Use'!B7</f>
        <v>0</v>
      </c>
      <c r="C27" s="240">
        <f>'C-Input-Annual Water Use'!B8</f>
        <v>0</v>
      </c>
      <c r="D27" s="241">
        <f>'C-Input-Annual Water Use'!B9</f>
        <v>0</v>
      </c>
      <c r="E27" s="242">
        <f>'C-Input-Annual Water Use'!B10</f>
        <v>0</v>
      </c>
    </row>
    <row r="28" spans="1:5" ht="15" customHeight="1">
      <c r="A28" s="97" t="s">
        <v>84</v>
      </c>
      <c r="B28" s="134">
        <f t="shared" ref="B28:E34" si="0">B6+B17</f>
        <v>0</v>
      </c>
      <c r="C28" s="134">
        <f t="shared" si="0"/>
        <v>0</v>
      </c>
      <c r="D28" s="134">
        <f t="shared" si="0"/>
        <v>0</v>
      </c>
      <c r="E28" s="134">
        <f t="shared" si="0"/>
        <v>0</v>
      </c>
    </row>
    <row r="29" spans="1:5" ht="15" customHeight="1">
      <c r="A29" s="97" t="s">
        <v>85</v>
      </c>
      <c r="B29" s="134">
        <f t="shared" si="0"/>
        <v>0</v>
      </c>
      <c r="C29" s="134">
        <f t="shared" si="0"/>
        <v>0</v>
      </c>
      <c r="D29" s="134">
        <f t="shared" si="0"/>
        <v>0</v>
      </c>
      <c r="E29" s="134">
        <f t="shared" si="0"/>
        <v>0</v>
      </c>
    </row>
    <row r="30" spans="1:5" ht="15" customHeight="1">
      <c r="A30" s="97" t="s">
        <v>86</v>
      </c>
      <c r="B30" s="134">
        <f t="shared" si="0"/>
        <v>0</v>
      </c>
      <c r="C30" s="134">
        <f t="shared" si="0"/>
        <v>0</v>
      </c>
      <c r="D30" s="134">
        <f t="shared" si="0"/>
        <v>0</v>
      </c>
      <c r="E30" s="134">
        <f t="shared" si="0"/>
        <v>0</v>
      </c>
    </row>
    <row r="31" spans="1:5" ht="15" customHeight="1">
      <c r="A31" s="97" t="s">
        <v>87</v>
      </c>
      <c r="B31" s="134">
        <f t="shared" si="0"/>
        <v>0</v>
      </c>
      <c r="C31" s="134">
        <f t="shared" si="0"/>
        <v>0</v>
      </c>
      <c r="D31" s="134">
        <f t="shared" si="0"/>
        <v>0</v>
      </c>
      <c r="E31" s="134">
        <f t="shared" si="0"/>
        <v>0</v>
      </c>
    </row>
    <row r="32" spans="1:5" ht="15" customHeight="1">
      <c r="A32" s="97" t="s">
        <v>88</v>
      </c>
      <c r="B32" s="139">
        <f t="shared" si="0"/>
        <v>0</v>
      </c>
      <c r="C32" s="139">
        <f t="shared" si="0"/>
        <v>0</v>
      </c>
      <c r="D32" s="139">
        <f t="shared" si="0"/>
        <v>0</v>
      </c>
      <c r="E32" s="139">
        <f t="shared" si="0"/>
        <v>0</v>
      </c>
    </row>
    <row r="33" spans="1:5" ht="15" customHeight="1">
      <c r="A33" s="97" t="s">
        <v>89</v>
      </c>
      <c r="B33" s="134">
        <f t="shared" si="0"/>
        <v>0</v>
      </c>
      <c r="C33" s="134">
        <f t="shared" si="0"/>
        <v>0</v>
      </c>
      <c r="D33" s="134">
        <f t="shared" si="0"/>
        <v>0</v>
      </c>
      <c r="E33" s="134">
        <f t="shared" si="0"/>
        <v>0</v>
      </c>
    </row>
    <row r="34" spans="1:5" ht="15" customHeight="1">
      <c r="A34" s="97" t="s">
        <v>90</v>
      </c>
      <c r="B34" s="134">
        <f t="shared" si="0"/>
        <v>0</v>
      </c>
      <c r="C34" s="134">
        <f t="shared" si="0"/>
        <v>0</v>
      </c>
      <c r="D34" s="134">
        <f t="shared" si="0"/>
        <v>0</v>
      </c>
      <c r="E34" s="134">
        <f t="shared" si="0"/>
        <v>0</v>
      </c>
    </row>
    <row r="35" spans="1:5" ht="15" customHeight="1"/>
    <row r="36" spans="1:5" ht="15" customHeight="1"/>
    <row r="37" spans="1:5" ht="15" customHeight="1"/>
    <row r="38" spans="1:5" ht="15" customHeight="1"/>
    <row r="39" spans="1:5" ht="15" customHeight="1"/>
    <row r="40" spans="1:5" ht="15" customHeight="1"/>
    <row r="41" spans="1:5" ht="15" customHeight="1"/>
    <row r="42" spans="1:5" ht="15" customHeight="1"/>
  </sheetData>
  <sheetProtection password="8197" sheet="1" objects="1" scenarios="1"/>
  <dataConsolidate/>
  <hyperlinks>
    <hyperlink ref="D2" location="Overview!A1" display="Return to Overview Pag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4"/>
  <dimension ref="A1:B36"/>
  <sheetViews>
    <sheetView topLeftCell="A16" workbookViewId="0">
      <selection activeCell="B7" sqref="B7"/>
    </sheetView>
  </sheetViews>
  <sheetFormatPr defaultRowHeight="15"/>
  <cols>
    <col min="1" max="1" width="74.28515625" customWidth="1"/>
    <col min="2" max="2" width="15.5703125" customWidth="1"/>
  </cols>
  <sheetData>
    <row r="1" spans="1:2" ht="17.25">
      <c r="A1" s="294">
        <f>'A-Input Water Use Data'!$A$6</f>
        <v>0</v>
      </c>
    </row>
    <row r="2" spans="1:2" ht="17.25">
      <c r="A2" s="294" t="s">
        <v>241</v>
      </c>
    </row>
    <row r="3" spans="1:2" ht="26.25">
      <c r="B3" s="249" t="s">
        <v>304</v>
      </c>
    </row>
    <row r="4" spans="1:2">
      <c r="A4" s="256" t="s">
        <v>338</v>
      </c>
      <c r="B4" s="254"/>
    </row>
    <row r="5" spans="1:2" ht="57" customHeight="1" thickBot="1">
      <c r="A5" s="320" t="s">
        <v>339</v>
      </c>
      <c r="B5" s="321"/>
    </row>
    <row r="6" spans="1:2" ht="17.25" customHeight="1" thickBot="1">
      <c r="A6" s="255" t="s">
        <v>340</v>
      </c>
      <c r="B6" s="261" t="str">
        <f>IF('A-Input Water Use Data'!B15=0,"0",'A-Output-WaterElectric Impact'!B9/'A-Input Water Use Data'!B15)</f>
        <v>0</v>
      </c>
    </row>
    <row r="7" spans="1:2" ht="18" customHeight="1">
      <c r="A7" s="220" t="s">
        <v>237</v>
      </c>
      <c r="B7" s="318"/>
    </row>
    <row r="8" spans="1:2" ht="17.25" customHeight="1">
      <c r="A8" s="253" t="s">
        <v>110</v>
      </c>
      <c r="B8" s="254"/>
    </row>
    <row r="9" spans="1:2" ht="44.25" customHeight="1" thickBot="1">
      <c r="A9" s="320" t="s">
        <v>342</v>
      </c>
      <c r="B9" s="321"/>
    </row>
    <row r="10" spans="1:2" ht="16.5" customHeight="1" thickBot="1">
      <c r="A10" s="257" t="s">
        <v>341</v>
      </c>
      <c r="B10" s="297" t="str">
        <f>IF('A-Input Water Use Data'!B15=0,"0",'A-Output-WaterElectric Impact'!B8/'A-Input Water Use Data'!B15)</f>
        <v>0</v>
      </c>
    </row>
    <row r="11" spans="1:2">
      <c r="A11" s="262" t="s">
        <v>127</v>
      </c>
      <c r="B11" s="298"/>
    </row>
    <row r="12" spans="1:2" ht="15" customHeight="1">
      <c r="A12" s="258" t="s">
        <v>343</v>
      </c>
      <c r="B12" s="263"/>
    </row>
    <row r="13" spans="1:2" ht="28.5" customHeight="1">
      <c r="A13" s="320" t="s">
        <v>344</v>
      </c>
      <c r="B13" s="321"/>
    </row>
    <row r="14" spans="1:2">
      <c r="A14" s="218" t="s">
        <v>103</v>
      </c>
      <c r="B14" s="219"/>
    </row>
    <row r="15" spans="1:2" ht="16.5" customHeight="1">
      <c r="A15" s="221" t="s">
        <v>238</v>
      </c>
      <c r="B15" s="299"/>
    </row>
    <row r="16" spans="1:2" ht="18" customHeight="1">
      <c r="A16" s="220" t="s">
        <v>239</v>
      </c>
      <c r="B16" s="299"/>
    </row>
    <row r="17" spans="1:2">
      <c r="A17" s="218" t="s">
        <v>105</v>
      </c>
      <c r="B17" s="319"/>
    </row>
    <row r="18" spans="1:2" ht="30.75" customHeight="1">
      <c r="A18" s="221" t="s">
        <v>264</v>
      </c>
      <c r="B18" s="299"/>
    </row>
    <row r="19" spans="1:2" ht="27.75" customHeight="1">
      <c r="A19" s="221" t="s">
        <v>265</v>
      </c>
      <c r="B19" s="299"/>
    </row>
    <row r="20" spans="1:2">
      <c r="A20" s="218" t="s">
        <v>252</v>
      </c>
      <c r="B20" s="319"/>
    </row>
    <row r="21" spans="1:2">
      <c r="A21" s="221" t="s">
        <v>263</v>
      </c>
      <c r="B21" s="299"/>
    </row>
    <row r="22" spans="1:2">
      <c r="A22" s="218" t="s">
        <v>128</v>
      </c>
      <c r="B22" s="319"/>
    </row>
    <row r="23" spans="1:2">
      <c r="A23" s="222" t="s">
        <v>183</v>
      </c>
      <c r="B23" s="299"/>
    </row>
    <row r="24" spans="1:2">
      <c r="A24" s="223" t="s">
        <v>184</v>
      </c>
      <c r="B24" s="299"/>
    </row>
    <row r="25" spans="1:2">
      <c r="A25" s="223" t="s">
        <v>125</v>
      </c>
      <c r="B25" s="298"/>
    </row>
    <row r="26" spans="1:2">
      <c r="A26" s="218" t="s">
        <v>266</v>
      </c>
      <c r="B26" s="319"/>
    </row>
    <row r="27" spans="1:2">
      <c r="A27" s="223" t="s">
        <v>267</v>
      </c>
      <c r="B27" s="299"/>
    </row>
    <row r="28" spans="1:2">
      <c r="A28" s="223" t="s">
        <v>268</v>
      </c>
      <c r="B28" s="299"/>
    </row>
    <row r="29" spans="1:2">
      <c r="A29" s="218" t="s">
        <v>256</v>
      </c>
      <c r="B29" s="319"/>
    </row>
    <row r="30" spans="1:2">
      <c r="A30" s="224" t="s">
        <v>255</v>
      </c>
      <c r="B30" s="299"/>
    </row>
    <row r="31" spans="1:2">
      <c r="A31" s="224" t="s">
        <v>279</v>
      </c>
      <c r="B31" s="299"/>
    </row>
    <row r="32" spans="1:2" ht="30.75" customHeight="1">
      <c r="A32" s="225" t="s">
        <v>258</v>
      </c>
      <c r="B32" s="299"/>
    </row>
    <row r="33" spans="1:2">
      <c r="A33" s="224" t="s">
        <v>259</v>
      </c>
      <c r="B33" s="299"/>
    </row>
    <row r="34" spans="1:2">
      <c r="A34" s="245" t="s">
        <v>314</v>
      </c>
      <c r="B34" s="299"/>
    </row>
    <row r="35" spans="1:2" ht="49.5" customHeight="1">
      <c r="B35" s="248" t="s">
        <v>319</v>
      </c>
    </row>
    <row r="36" spans="1:2" ht="39">
      <c r="B36" s="248" t="s">
        <v>326</v>
      </c>
    </row>
  </sheetData>
  <sheetProtection password="8197" sheet="1" objects="1" scenarios="1" selectLockedCells="1"/>
  <dataConsolidate/>
  <mergeCells count="3">
    <mergeCell ref="A9:B9"/>
    <mergeCell ref="A5:B5"/>
    <mergeCell ref="A13:B13"/>
  </mergeCells>
  <conditionalFormatting sqref="B4 B8 B10 B14:B34">
    <cfRule type="expression" dxfId="7" priority="13">
      <formula>ISERROR($B$8:$B$56)</formula>
    </cfRule>
  </conditionalFormatting>
  <conditionalFormatting sqref="B14:B28">
    <cfRule type="expression" dxfId="6" priority="7">
      <formula>ISERROR($B$8:$B$60)</formula>
    </cfRule>
  </conditionalFormatting>
  <conditionalFormatting sqref="B30:B34">
    <cfRule type="expression" dxfId="5" priority="6">
      <formula>ISERROR($B$8:$B$60)</formula>
    </cfRule>
  </conditionalFormatting>
  <conditionalFormatting sqref="B6">
    <cfRule type="expression" dxfId="4" priority="5">
      <formula>ISERROR($B$8:$B$56)</formula>
    </cfRule>
  </conditionalFormatting>
  <conditionalFormatting sqref="B10">
    <cfRule type="expression" dxfId="3" priority="4">
      <formula>ISERROR($B$8:$B$56)</formula>
    </cfRule>
  </conditionalFormatting>
  <conditionalFormatting sqref="B11">
    <cfRule type="expression" dxfId="2" priority="3">
      <formula>ISERROR($B$8:$B$56)</formula>
    </cfRule>
  </conditionalFormatting>
  <conditionalFormatting sqref="B11">
    <cfRule type="expression" dxfId="1" priority="2">
      <formula>ISERROR($B$8:$B$60)</formula>
    </cfRule>
  </conditionalFormatting>
  <conditionalFormatting sqref="B10">
    <cfRule type="expression" dxfId="0" priority="1">
      <formula>ISERROR($B$8:$B$56)</formula>
    </cfRule>
  </conditionalFormatting>
  <dataValidations count="5">
    <dataValidation allowBlank="1" showInputMessage="1" showErrorMessage="1" promptTitle="Wainter Base Rate" prompt="This is the amount of water that is used by customers during non-sprinkling months.  This is generally referred to as the Winter Base Rate that shows non-outdoor water use.  Overall water use during sprinkling months generally is higher." sqref="B23"/>
    <dataValidation allowBlank="1" showInputMessage="1" showErrorMessage="1" promptTitle="Inflow and Infiltration (I &amp; I)" sqref="A6"/>
    <dataValidation allowBlank="1" showInputMessage="1" showErrorMessage="1" promptTitle="Water Leakage" sqref="A10"/>
    <dataValidation allowBlank="1" showInputMessage="1" showErrorMessage="1" promptTitle="Leaks in Water Systems" sqref="B10"/>
    <dataValidation allowBlank="1" showInputMessage="1" showErrorMessage="1" promptTitle="Inflow and Infiltration" sqref="B6"/>
  </dataValidations>
  <hyperlinks>
    <hyperlink ref="B3" location="Overview!A1" display="Return to Overview Page"/>
    <hyperlink ref="B35" location="'A-Output-WaterElectric Impact'!C1" display="Go to &quot;A-Output-WaterElectric Impact&quot; Worksheet"/>
    <hyperlink ref="B36" location="'A-Input Water Use Data'!A1" display="Return to &quot;A-Input Water Use Data&quot; Worksheet"/>
  </hyperlink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sheetPr codeName="Sheet5"/>
  <dimension ref="A1:B80"/>
  <sheetViews>
    <sheetView zoomScale="85" zoomScaleNormal="85" workbookViewId="0">
      <selection activeCell="B5" sqref="B5"/>
    </sheetView>
  </sheetViews>
  <sheetFormatPr defaultRowHeight="15"/>
  <cols>
    <col min="1" max="1" width="69.28515625" customWidth="1"/>
    <col min="2" max="2" width="20.7109375" customWidth="1"/>
    <col min="3" max="3" width="5.5703125" customWidth="1"/>
    <col min="4" max="4" width="44.140625" customWidth="1"/>
    <col min="5" max="5" width="32.5703125" customWidth="1"/>
  </cols>
  <sheetData>
    <row r="1" spans="1:2" ht="15.75">
      <c r="A1" s="237" t="s">
        <v>367</v>
      </c>
    </row>
    <row r="3" spans="1:2" ht="15.75">
      <c r="A3" s="238">
        <f>'A-Input Water Use Data'!A6</f>
        <v>0</v>
      </c>
      <c r="B3" s="249" t="s">
        <v>304</v>
      </c>
    </row>
    <row r="4" spans="1:2">
      <c r="A4" s="186" t="s">
        <v>130</v>
      </c>
      <c r="B4" s="185"/>
    </row>
    <row r="5" spans="1:2">
      <c r="A5" s="184" t="s">
        <v>115</v>
      </c>
      <c r="B5" s="264" t="str">
        <f>IF('A-Input Water Use Data'!B14=0,"0",'A-Input Water Use Data'!B14/365)</f>
        <v>0</v>
      </c>
    </row>
    <row r="6" spans="1:2" ht="21" customHeight="1">
      <c r="A6" s="141" t="s">
        <v>116</v>
      </c>
      <c r="B6" s="265" t="str">
        <f>IF('A-Input Water Use Data'!B15=0,"0",'A-Input Water Use Data'!B15/365)</f>
        <v>0</v>
      </c>
    </row>
    <row r="7" spans="1:2">
      <c r="A7" s="141" t="s">
        <v>269</v>
      </c>
      <c r="B7" s="265">
        <f>'A-Input Water Use Data'!$B$16/365</f>
        <v>0</v>
      </c>
    </row>
    <row r="8" spans="1:2">
      <c r="A8" s="141" t="s">
        <v>162</v>
      </c>
      <c r="B8" s="266">
        <f>'A-Input Water Use Data'!B14-'A-Input Water Use Data'!B15</f>
        <v>0</v>
      </c>
    </row>
    <row r="9" spans="1:2">
      <c r="A9" s="141" t="s">
        <v>176</v>
      </c>
      <c r="B9" s="266">
        <f>'A-Input Water Use Data'!B16-'A-Input Water Use Data'!B15</f>
        <v>0</v>
      </c>
    </row>
    <row r="10" spans="1:2">
      <c r="A10" s="182" t="s">
        <v>126</v>
      </c>
      <c r="B10" s="267" t="str">
        <f>IF('A-Input Water Use Data'!B12=0,"0",B6/'A-Input Water Use Data'!B12)</f>
        <v>0</v>
      </c>
    </row>
    <row r="11" spans="1:2">
      <c r="A11" s="186" t="s">
        <v>111</v>
      </c>
      <c r="B11" s="185"/>
    </row>
    <row r="12" spans="1:2" ht="14.25" customHeight="1">
      <c r="A12" s="287" t="s">
        <v>354</v>
      </c>
      <c r="B12" s="266" t="str">
        <f>IF('A-Input Water Use Data'!B14=0,"0",('A-Input Water Use Data'!B18/('A-Input Water Use Data'!B14/1000000)))</f>
        <v>0</v>
      </c>
    </row>
    <row r="13" spans="1:2">
      <c r="A13" s="287" t="s">
        <v>355</v>
      </c>
      <c r="B13" s="266" t="str">
        <f>IF('A-Input Water Use Data'!B16=0,"0",(('A-Input Water Use Data'!B19/('A-Input Water Use Data'!B16/1000000))))</f>
        <v>0</v>
      </c>
    </row>
    <row r="14" spans="1:2" ht="15.75">
      <c r="A14" s="238" t="s">
        <v>286</v>
      </c>
    </row>
    <row r="15" spans="1:2" ht="15.75">
      <c r="A15" s="238"/>
    </row>
    <row r="16" spans="1:2">
      <c r="A16" s="186" t="s">
        <v>112</v>
      </c>
      <c r="B16" s="185"/>
    </row>
    <row r="17" spans="1:2">
      <c r="A17" s="183" t="s">
        <v>198</v>
      </c>
      <c r="B17" s="268">
        <f>B9*'A-Input Conservation Options'!B7</f>
        <v>0</v>
      </c>
    </row>
    <row r="18" spans="1:2">
      <c r="A18" s="183" t="s">
        <v>243</v>
      </c>
      <c r="B18" s="269" t="str">
        <f>'A-Input Conservation Options'!B6</f>
        <v>0</v>
      </c>
    </row>
    <row r="19" spans="1:2">
      <c r="A19" s="183" t="s">
        <v>244</v>
      </c>
      <c r="B19" s="269" t="str">
        <f>IF('A-Input Water Use Data'!B15=0,"0",(B9-B17)/('A-Input Water Use Data'!B15))</f>
        <v>0</v>
      </c>
    </row>
    <row r="20" spans="1:2">
      <c r="A20" s="142" t="s">
        <v>350</v>
      </c>
      <c r="B20" s="270">
        <f>'A-Output-WaterElectric Impact'!B13*(B17/1000000)</f>
        <v>0</v>
      </c>
    </row>
    <row r="21" spans="1:2">
      <c r="A21" s="182" t="s">
        <v>193</v>
      </c>
      <c r="B21" s="271" t="str">
        <f>(IF(B17=0,"0",(B17/1000000)*'A-Output-WaterElectric Impact'!B13*'A-Input Water Use Data'!B21))</f>
        <v>0</v>
      </c>
    </row>
    <row r="22" spans="1:2">
      <c r="A22" s="186" t="s">
        <v>245</v>
      </c>
      <c r="B22" s="185"/>
    </row>
    <row r="23" spans="1:2">
      <c r="A23" s="183" t="s">
        <v>240</v>
      </c>
      <c r="B23" s="268">
        <f>('A-Input Water Use Data'!B14-'A-Input Water Use Data'!B15)-(('A-Input Conservation Options'!B11*'A-Input Water Use Data'!B15))</f>
        <v>0</v>
      </c>
    </row>
    <row r="24" spans="1:2">
      <c r="A24" s="142" t="s">
        <v>192</v>
      </c>
      <c r="B24" s="270">
        <f>'A-Output-WaterElectric Impact'!B12*(B23/1000000)</f>
        <v>0</v>
      </c>
    </row>
    <row r="25" spans="1:2">
      <c r="A25" s="182" t="s">
        <v>193</v>
      </c>
      <c r="B25" s="271" t="str">
        <f>IF(B23=0,"0",((B23/1000000)*'A-Output-WaterElectric Impact'!B12*'A-Input Water Use Data'!B20))</f>
        <v>0</v>
      </c>
    </row>
    <row r="26" spans="1:2">
      <c r="A26" s="186" t="s">
        <v>260</v>
      </c>
      <c r="B26" s="185"/>
    </row>
    <row r="27" spans="1:2">
      <c r="A27" s="183" t="s">
        <v>104</v>
      </c>
      <c r="B27" s="268">
        <f>(((3.5-1.28)*'A-Input Conservation Options'!B15)+((1.6-1.28)*'A-Input Conservation Options'!B16))*'A-Input Water Use Data'!B13*4*365</f>
        <v>0</v>
      </c>
    </row>
    <row r="28" spans="1:2">
      <c r="A28" s="142" t="s">
        <v>192</v>
      </c>
      <c r="B28" s="270">
        <f>('A-Output-WaterElectric Impact'!B12*(B27/1000000))+('A-Output-WaterElectric Impact'!B13*(B27/1000000))</f>
        <v>0</v>
      </c>
    </row>
    <row r="29" spans="1:2">
      <c r="A29" s="182" t="s">
        <v>193</v>
      </c>
      <c r="B29" s="271" t="str">
        <f>IF(B27=0,"0",((B27/1000000)*'A-Output-WaterElectric Impact'!B12*'A-Input Water Use Data'!B20)+((B27/1000000)*'A-Output-WaterElectric Impact'!B13*'A-Input Water Use Data'!B21))</f>
        <v>0</v>
      </c>
    </row>
    <row r="30" spans="1:2">
      <c r="A30" s="186" t="s">
        <v>261</v>
      </c>
      <c r="B30" s="185"/>
    </row>
    <row r="31" spans="1:2">
      <c r="A31" s="183" t="s">
        <v>104</v>
      </c>
      <c r="B31" s="268">
        <f>(2062*'A-Input Conservation Options'!B18)+('A-Input Conservation Options'!B19*1898)</f>
        <v>0</v>
      </c>
    </row>
    <row r="32" spans="1:2">
      <c r="A32" s="142" t="s">
        <v>192</v>
      </c>
      <c r="B32" s="270">
        <f>('A-Output-WaterElectric Impact'!B12*(B31/1000000))+('A-Output-WaterElectric Impact'!B13*(B31/1000000))</f>
        <v>0</v>
      </c>
    </row>
    <row r="33" spans="1:2">
      <c r="A33" s="182" t="s">
        <v>193</v>
      </c>
      <c r="B33" s="271" t="str">
        <f>IF(B31=0,"0",((B31/1000000)*'A-Output-WaterElectric Impact'!B12*'A-Input Water Use Data'!B20)+((B31/1000000)*'A-Output-WaterElectric Impact'!B13*'A-Input Water Use Data'!B21))</f>
        <v>0</v>
      </c>
    </row>
    <row r="34" spans="1:2">
      <c r="A34" s="186" t="s">
        <v>282</v>
      </c>
      <c r="B34" s="185"/>
    </row>
    <row r="35" spans="1:2">
      <c r="A35" s="183" t="s">
        <v>104</v>
      </c>
      <c r="B35" s="268">
        <f>7043*'A-Input Conservation Options'!B21</f>
        <v>0</v>
      </c>
    </row>
    <row r="36" spans="1:2">
      <c r="A36" s="142" t="s">
        <v>192</v>
      </c>
      <c r="B36" s="268">
        <f>(B12*(B35/1000000)+(B13*(B35/1000000)))</f>
        <v>0</v>
      </c>
    </row>
    <row r="37" spans="1:2">
      <c r="A37" s="142" t="s">
        <v>193</v>
      </c>
      <c r="B37" s="271" t="str">
        <f>IF(B35=0,"0",((B35/1000000)*'A-Output-WaterElectric Impact'!B12*'A-Input Water Use Data'!B20)+((B35/1000000)*'A-Output-WaterElectric Impact'!B13*'A-Input Water Use Data'!B21))</f>
        <v>0</v>
      </c>
    </row>
    <row r="38" spans="1:2">
      <c r="A38" s="186" t="s">
        <v>128</v>
      </c>
      <c r="B38" s="185"/>
    </row>
    <row r="39" spans="1:2">
      <c r="A39" s="183" t="s">
        <v>161</v>
      </c>
      <c r="B39" s="268">
        <f>'A-Input Conservation Options'!B23/183</f>
        <v>0</v>
      </c>
    </row>
    <row r="40" spans="1:2">
      <c r="A40" s="142" t="s">
        <v>160</v>
      </c>
      <c r="B40" s="270">
        <f>'A-Input Conservation Options'!B24/183</f>
        <v>0</v>
      </c>
    </row>
    <row r="41" spans="1:2">
      <c r="A41" s="141" t="s">
        <v>182</v>
      </c>
      <c r="B41" s="270">
        <f>((B40-B39)*'A-Input Conservation Options'!B25)*182</f>
        <v>0</v>
      </c>
    </row>
    <row r="42" spans="1:2">
      <c r="A42" s="142" t="s">
        <v>192</v>
      </c>
      <c r="B42" s="270">
        <f>'A-Output-WaterElectric Impact'!B12*(B41/1000000)</f>
        <v>0</v>
      </c>
    </row>
    <row r="43" spans="1:2">
      <c r="A43" s="142" t="s">
        <v>193</v>
      </c>
      <c r="B43" s="272" t="str">
        <f>IF(B41=0,"0",((B41/1000000)*'A-Output-WaterElectric Impact'!B12*'A-Input Water Use Data'!B20))</f>
        <v>0</v>
      </c>
    </row>
    <row r="44" spans="1:2">
      <c r="A44" s="186" t="s">
        <v>281</v>
      </c>
      <c r="B44" s="185"/>
    </row>
    <row r="45" spans="1:2">
      <c r="A45" s="183" t="s">
        <v>104</v>
      </c>
      <c r="B45" s="268">
        <f>(12373*'A-Input Conservation Options'!B27)+(10950*'A-Input Conservation Options'!B28)</f>
        <v>0</v>
      </c>
    </row>
    <row r="46" spans="1:2">
      <c r="A46" s="142" t="s">
        <v>192</v>
      </c>
      <c r="B46" s="268">
        <f>(B12*(B45/1000000)+(B13*(B45/1000000)))</f>
        <v>0</v>
      </c>
    </row>
    <row r="47" spans="1:2">
      <c r="A47" s="142" t="s">
        <v>193</v>
      </c>
      <c r="B47" s="272" t="str">
        <f>IF(B45=0,"0",((B45/1000000)*'A-Output-WaterElectric Impact'!B12*'A-Input Water Use Data'!B20)+((B45/1000000)*'A-Output-WaterElectric Impact'!B24*'A-Input Water Use Data'!B21))</f>
        <v>0</v>
      </c>
    </row>
    <row r="48" spans="1:2" ht="17.25">
      <c r="A48" s="153">
        <f>'A-Input Water Use Data'!A6</f>
        <v>0</v>
      </c>
    </row>
    <row r="49" spans="1:2" ht="17.25">
      <c r="A49" s="230" t="s">
        <v>287</v>
      </c>
    </row>
    <row r="50" spans="1:2">
      <c r="A50" s="186" t="s">
        <v>254</v>
      </c>
      <c r="B50" s="185"/>
    </row>
    <row r="51" spans="1:2">
      <c r="A51" s="183" t="s">
        <v>104</v>
      </c>
      <c r="B51" s="268">
        <f>31435*'A-Input Conservation Options'!B30</f>
        <v>0</v>
      </c>
    </row>
    <row r="52" spans="1:2">
      <c r="A52" s="142" t="s">
        <v>192</v>
      </c>
      <c r="B52" s="268">
        <f>(B12*(B51/1000000)+(B13*(B51/1000000)))</f>
        <v>0</v>
      </c>
    </row>
    <row r="53" spans="1:2">
      <c r="A53" s="182" t="s">
        <v>193</v>
      </c>
      <c r="B53" s="271" t="str">
        <f>IF(B51=0,"0",((B51/1000000)*'A-Output-WaterElectric Impact'!B12*'A-Input Water Use Data'!B20)+((B51/1000000)*'A-Output-WaterElectric Impact'!B13*'A-Input Water Use Data'!B21))</f>
        <v>0</v>
      </c>
    </row>
    <row r="54" spans="1:2">
      <c r="A54" s="186" t="s">
        <v>280</v>
      </c>
      <c r="B54" s="185"/>
    </row>
    <row r="55" spans="1:2">
      <c r="A55" s="183" t="s">
        <v>104</v>
      </c>
      <c r="B55" s="268">
        <f>10585*'A-Input Conservation Options'!B31</f>
        <v>0</v>
      </c>
    </row>
    <row r="56" spans="1:2">
      <c r="A56" s="142" t="s">
        <v>192</v>
      </c>
      <c r="B56" s="268">
        <f>(B12*(B55/1000000)+(B13*(B55/1000000)))</f>
        <v>0</v>
      </c>
    </row>
    <row r="57" spans="1:2">
      <c r="A57" s="182" t="s">
        <v>193</v>
      </c>
      <c r="B57" s="271" t="str">
        <f>IF(B55=0,"0",((B55/1000000)*'A-Output-WaterElectric Impact'!B11*'A-Input Water Use Data'!B20)+((B55/1000000)*'A-Output-WaterElectric Impact'!B12*'A-Input Water Use Data'!B21))</f>
        <v>0</v>
      </c>
    </row>
    <row r="58" spans="1:2">
      <c r="A58" s="186" t="s">
        <v>253</v>
      </c>
      <c r="B58" s="185"/>
    </row>
    <row r="59" spans="1:2">
      <c r="A59" s="183" t="s">
        <v>104</v>
      </c>
      <c r="B59" s="268">
        <f>6206*'A-Input Conservation Options'!B32</f>
        <v>0</v>
      </c>
    </row>
    <row r="60" spans="1:2">
      <c r="A60" s="142" t="s">
        <v>192</v>
      </c>
      <c r="B60" s="268">
        <f>(B12*(B59/1000000)+(B13*(B59/1000000)))</f>
        <v>0</v>
      </c>
    </row>
    <row r="61" spans="1:2">
      <c r="A61" s="182" t="s">
        <v>193</v>
      </c>
      <c r="B61" s="271" t="str">
        <f>IF(B59=0,"0",((B59/1000000)*'A-Output-WaterElectric Impact'!B12*'A-Input Water Use Data'!B20)+((B59/1000000)*'A-Output-WaterElectric Impact'!B13*'A-Input Water Use Data'!B21))</f>
        <v>0</v>
      </c>
    </row>
    <row r="62" spans="1:2">
      <c r="A62" s="186" t="s">
        <v>257</v>
      </c>
      <c r="B62" s="185"/>
    </row>
    <row r="63" spans="1:2">
      <c r="A63" s="183" t="s">
        <v>104</v>
      </c>
      <c r="B63" s="268">
        <f>57757*'A-Input Conservation Options'!B33</f>
        <v>0</v>
      </c>
    </row>
    <row r="64" spans="1:2">
      <c r="A64" s="142" t="s">
        <v>192</v>
      </c>
      <c r="B64" s="268">
        <f>(B12*(B63/1000000)+(B13*(B63/1000000)))</f>
        <v>0</v>
      </c>
    </row>
    <row r="65" spans="1:2">
      <c r="A65" s="142" t="s">
        <v>193</v>
      </c>
      <c r="B65" s="272" t="str">
        <f>IF(B63=0,"0",((B63/1000000)*'A-Output-WaterElectric Impact'!B12*'A-Input Water Use Data'!B20)+((B63/1000000)*'A-Output-WaterElectric Impact'!B13*'A-Input Water Use Data'!B21))</f>
        <v>0</v>
      </c>
    </row>
    <row r="66" spans="1:2">
      <c r="A66" s="186" t="s">
        <v>285</v>
      </c>
      <c r="B66" s="185"/>
    </row>
    <row r="67" spans="1:2">
      <c r="A67" s="183" t="s">
        <v>104</v>
      </c>
      <c r="B67" s="268">
        <f>81500*'A-Input Conservation Options'!B34</f>
        <v>0</v>
      </c>
    </row>
    <row r="68" spans="1:2">
      <c r="A68" s="142" t="s">
        <v>192</v>
      </c>
      <c r="B68" s="268">
        <f>(B12*(B67/1000000)+(B13*(B67/1000000)))</f>
        <v>0</v>
      </c>
    </row>
    <row r="69" spans="1:2">
      <c r="A69" s="142" t="s">
        <v>193</v>
      </c>
      <c r="B69" s="272" t="str">
        <f>IF(B67=0,"0",((B67/1000000)*'A-Output-WaterElectric Impact'!B12*'A-Input Water Use Data'!B20)+((B67/1000000)*'A-Output-WaterElectric Impact'!B12*'A-Input Water Use Data'!B21))</f>
        <v>0</v>
      </c>
    </row>
    <row r="70" spans="1:2" ht="17.25">
      <c r="A70" s="153" t="s">
        <v>288</v>
      </c>
    </row>
    <row r="71" spans="1:2">
      <c r="A71" s="231" t="s">
        <v>131</v>
      </c>
      <c r="B71" s="185"/>
    </row>
    <row r="72" spans="1:2">
      <c r="A72" s="183" t="s">
        <v>118</v>
      </c>
      <c r="B72" s="273">
        <f>B23+B27+B31+B41+B35+B59+B51+B55+B63+B67+B45</f>
        <v>0</v>
      </c>
    </row>
    <row r="73" spans="1:2">
      <c r="A73" s="142" t="s">
        <v>119</v>
      </c>
      <c r="B73" s="274">
        <f>B17+B27+B31+B35+B59+B51+B63+B67+B55+B45</f>
        <v>0</v>
      </c>
    </row>
    <row r="74" spans="1:2">
      <c r="A74" s="142" t="s">
        <v>194</v>
      </c>
      <c r="B74" s="274">
        <f>'A-Output-WaterElectric Impact'!B12*(B72/1000000)</f>
        <v>0</v>
      </c>
    </row>
    <row r="75" spans="1:2">
      <c r="A75" s="142" t="s">
        <v>195</v>
      </c>
      <c r="B75" s="274">
        <f>'A-Output-WaterElectric Impact'!B13*(B73/1000000)</f>
        <v>0</v>
      </c>
    </row>
    <row r="76" spans="1:2">
      <c r="A76" s="141" t="s">
        <v>196</v>
      </c>
      <c r="B76" s="275">
        <f>B43+B33+B29+B25+B21+B69+B65+B61+B57+B53+B47+B37</f>
        <v>0</v>
      </c>
    </row>
    <row r="79" spans="1:2">
      <c r="A79" s="290" t="s">
        <v>316</v>
      </c>
    </row>
    <row r="80" spans="1:2" ht="15" customHeight="1">
      <c r="A80" s="290" t="s">
        <v>325</v>
      </c>
    </row>
  </sheetData>
  <sheetProtection password="8197" sheet="1" objects="1" scenarios="1"/>
  <dataValidations xWindow="494" yWindow="644" count="14">
    <dataValidation allowBlank="1" showInputMessage="1" showErrorMessage="1" promptTitle="CII Kitchen Food Steamer " prompt="This is based upon an estimated 81,500 gallons of water saved per year per food steamer.  Source: Alliance for Water Efficiency, “Water Conservation Tracking Tool, VERSION 1.2 User Guide”, p. 174." sqref="A66"/>
    <dataValidation allowBlank="1" showInputMessage="1" showErrorMessage="1" promptTitle="CII Dishwasher Replacement" prompt="This is based upon an estimated 57,757 gallons of water saved per year per dishwasher.  Source: Alliance for Water Efficiency, “Water Conservation Tracking Tool, VERSION 1.2 User Guide”, p. 174_x000a_." sqref="A62"/>
    <dataValidation allowBlank="1" showInputMessage="1" showErrorMessage="1" promptTitle="CII Urinal Replacement Program" prompt="This is based upon an estimated 6206 gallons of water saved per year per 1/2 gpf urinal.  Source: Alliance for Water Efficiency, “Water Conservation Tracking Tool, VERSION 1.2 User Guide”, p. 162." sqref="A58"/>
    <dataValidation allowBlank="1" showInputMessage="1" showErrorMessage="1" promptTitle="CII Toilet Replacement Program" prompt="This is based upon an estimated 10,585 gallons of water saved per year per toilet replaced.  Source: Alliance for Water Efficiency, “Water Conservation Tracking Tool, VERSION 1.2 User Guide”, p. 165." sqref="A54"/>
    <dataValidation allowBlank="1" showInputMessage="1" showErrorMessage="1" promptTitle="CII Laundromat Washer Replace" prompt="This is based upon an estimated 31,435 gallons of water saved per year per washing machine.  Source: Alliance for Water Efficiency, “Water Conservation Tracking Tool, VERSION 1.2 User Guide”, p. 171." sqref="A50"/>
    <dataValidation allowBlank="1" showInputMessage="1" showErrorMessage="1" promptTitle="Residential Water Audit Program" prompt="Based upon an estimated 12,373 gallons of water saved per year per single family home and 10950 gallons per year for multi family units.  Source: Alliance for Water Efficiency, “Water Conservation Tracking Tool, VERSION 1.2 User Guide”, pp. 111 and 114." sqref="A44"/>
    <dataValidation allowBlank="1" showInputMessage="1" showErrorMessage="1" promptTitle="CII Urinal Replacement Program" sqref="A59 A63 A67"/>
    <dataValidation allowBlank="1" showInputMessage="1" showErrorMessage="1" promptTitle="CII Toilet Replacement Program" sqref="A55"/>
    <dataValidation allowBlank="1" showInputMessage="1" showErrorMessage="1" promptTitle="CII Laundromat Replacement" sqref="A51 A45"/>
    <dataValidation allowBlank="1" showInputMessage="1" showErrorMessage="1" prompt="This includes savings from both reductions in water use and wastewater treatment._x000a_" sqref="B64 B36 B46 B52 B60 B56 B68"/>
    <dataValidation allowBlank="1" showInputMessage="1" showErrorMessage="1" promptTitle="Water Savings calculations" prompt="This is based upon an estimated 7043 gallons of water saved per year per washing machine.  Source: Alliance for Water Efficiency, “Water Conservation Tracking Tool, VERSION 1.2 User Guide”, p. 139." sqref="A35"/>
    <dataValidation allowBlank="1" showInputMessage="1" showErrorMessage="1" prompt="This includes savings from both reductions in water use and wastewater treatment." sqref="B32 B28"/>
    <dataValidation allowBlank="1" showInputMessage="1" showErrorMessage="1" prompt="This includes savings from reductions in water use only." sqref="B24 B42"/>
    <dataValidation allowBlank="1" showInputMessage="1" showErrorMessage="1" prompt="This includes savings from reductions in wastewater treatment only." sqref="B20"/>
  </dataValidations>
  <hyperlinks>
    <hyperlink ref="B3" location="Overview!A1" display="Return to Overview Page"/>
    <hyperlink ref="A79" location="'A-Summary Output'!A1" display="Go to &quot;A-Summary Output&quot; Worksheet"/>
    <hyperlink ref="A80" location="'A-Input Conservation Options'!A1" display="Return to &quot;A-Input Conservation Options&quot; Worksheet"/>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5:B17"/>
  <sheetViews>
    <sheetView workbookViewId="0">
      <selection activeCell="B6" sqref="B6"/>
    </sheetView>
  </sheetViews>
  <sheetFormatPr defaultRowHeight="15"/>
  <cols>
    <col min="1" max="1" width="54.42578125" customWidth="1"/>
    <col min="2" max="2" width="23.140625" customWidth="1"/>
  </cols>
  <sheetData>
    <row r="5" spans="1:2">
      <c r="A5" s="231" t="s">
        <v>289</v>
      </c>
      <c r="B5" s="231" t="s">
        <v>359</v>
      </c>
    </row>
    <row r="6" spans="1:2">
      <c r="A6" s="142" t="s">
        <v>112</v>
      </c>
      <c r="B6" s="276" t="str">
        <f>IF('A-Output-WaterElectric Impact'!B20=0,"0",'A-Output-WaterElectric Impact'!B20/('A-Output-WaterElectric Impact'!B74+'A-Output-WaterElectric Impact'!B75))</f>
        <v>0</v>
      </c>
    </row>
    <row r="7" spans="1:2">
      <c r="A7" s="142" t="s">
        <v>245</v>
      </c>
      <c r="B7" s="276" t="str">
        <f>IF('A-Output-WaterElectric Impact'!B24=0,"0",'A-Output-WaterElectric Impact'!B24/('A-Output-WaterElectric Impact'!B74+'A-Output-WaterElectric Impact'!B75))</f>
        <v>0</v>
      </c>
    </row>
    <row r="8" spans="1:2">
      <c r="A8" s="142" t="s">
        <v>260</v>
      </c>
      <c r="B8" s="276" t="str">
        <f>IF('A-Output-WaterElectric Impact'!B28=0,"0",'A-Output-WaterElectric Impact'!B28/('A-Output-WaterElectric Impact'!B74+'A-Output-WaterElectric Impact'!B75))</f>
        <v>0</v>
      </c>
    </row>
    <row r="9" spans="1:2">
      <c r="A9" s="142" t="s">
        <v>261</v>
      </c>
      <c r="B9" s="276" t="str">
        <f>IF('A-Output-WaterElectric Impact'!B32=0,"0",'A-Output-WaterElectric Impact'!B32/('A-Output-WaterElectric Impact'!B74+'A-Output-WaterElectric Impact'!B75))</f>
        <v>0</v>
      </c>
    </row>
    <row r="10" spans="1:2" ht="28.5">
      <c r="A10" s="141" t="s">
        <v>282</v>
      </c>
      <c r="B10" s="276" t="str">
        <f>IF('A-Output-WaterElectric Impact'!B36=0,"0",'A-Output-WaterElectric Impact'!B36/('A-Output-WaterElectric Impact'!B74+'A-Output-WaterElectric Impact'!B75))</f>
        <v>0</v>
      </c>
    </row>
    <row r="11" spans="1:2">
      <c r="A11" s="142" t="s">
        <v>128</v>
      </c>
      <c r="B11" s="276" t="str">
        <f>IF('A-Output-WaterElectric Impact'!B42=0,"0",'A-Output-WaterElectric Impact'!B42/('A-Output-WaterElectric Impact'!B74+'A-Output-WaterElectric Impact'!B75))</f>
        <v>0</v>
      </c>
    </row>
    <row r="12" spans="1:2">
      <c r="A12" s="142" t="s">
        <v>281</v>
      </c>
      <c r="B12" s="276" t="str">
        <f>IF('A-Output-WaterElectric Impact'!B46=0,"0",'A-Output-WaterElectric Impact'!B46/('A-Output-WaterElectric Impact'!B74+'A-Output-WaterElectric Impact'!B75))</f>
        <v>0</v>
      </c>
    </row>
    <row r="13" spans="1:2">
      <c r="A13" s="142" t="s">
        <v>254</v>
      </c>
      <c r="B13" s="276" t="str">
        <f>IF('A-Output-WaterElectric Impact'!B52=0,"0",'A-Output-WaterElectric Impact'!B52/('A-Output-WaterElectric Impact'!B74+'A-Output-WaterElectric Impact'!B75))</f>
        <v>0</v>
      </c>
    </row>
    <row r="14" spans="1:2">
      <c r="A14" s="142" t="s">
        <v>280</v>
      </c>
      <c r="B14" s="276" t="str">
        <f>IF('A-Output-WaterElectric Impact'!B56=0,"0",'A-Output-WaterElectric Impact'!B56/('A-Output-WaterElectric Impact'!B74+'A-Output-WaterElectric Impact'!B75))</f>
        <v>0</v>
      </c>
    </row>
    <row r="15" spans="1:2">
      <c r="A15" s="142" t="s">
        <v>253</v>
      </c>
      <c r="B15" s="276" t="str">
        <f>IF('A-Output-WaterElectric Impact'!B60=0,"0",'A-Output-WaterElectric Impact'!B60/('A-Output-WaterElectric Impact'!B74+'A-Output-WaterElectric Impact'!B75))</f>
        <v>0</v>
      </c>
    </row>
    <row r="16" spans="1:2">
      <c r="A16" s="142" t="s">
        <v>257</v>
      </c>
      <c r="B16" s="276" t="str">
        <f>IF('A-Output-WaterElectric Impact'!B64=0,"0",'A-Output-WaterElectric Impact'!B64/('A-Output-WaterElectric Impact'!B74+'A-Output-WaterElectric Impact'!B75))</f>
        <v>0</v>
      </c>
    </row>
    <row r="17" spans="1:2">
      <c r="A17" s="142" t="s">
        <v>285</v>
      </c>
      <c r="B17" s="276" t="str">
        <f>IF('A-Output-WaterElectric Impact'!B68=0,"0",'A-Output-WaterElectric Impact'!B68/('A-Output-WaterElectric Impact'!B74+'A-Output-WaterElectric Impact'!B75))</f>
        <v>0</v>
      </c>
    </row>
  </sheetData>
  <sheetProtection password="8197" sheet="1" objects="1" scenarios="1"/>
  <dataValidations count="6">
    <dataValidation allowBlank="1" showInputMessage="1" showErrorMessage="1" promptTitle="Residential Water Audit Program" prompt="Based upon an estimated 12,373 gallons of water saved per year per single family home and 10950 gallons per year for multi family units.  Source: Alliance for Water Efficiency, “Water Conservation Tracking Tool, VERSION 1.2 User Guide”, pp. 111 and 114." sqref="A12"/>
    <dataValidation allowBlank="1" showInputMessage="1" showErrorMessage="1" promptTitle="CII Laundromat Washer Replace" prompt="This is based upon an estimated 31,435 gallons of water saved per year per washing machine.  Source: Alliance for Water Efficiency, “Water Conservation Tracking Tool, VERSION 1.2 User Guide”, p. 171." sqref="A13"/>
    <dataValidation allowBlank="1" showInputMessage="1" showErrorMessage="1" promptTitle="CII Toilet Replacement Program" prompt="This is based upon an estimated 10,585 gallons of water saved per year per toilet replaced.  Source: Alliance for Water Efficiency, “Water Conservation Tracking Tool, VERSION 1.2 User Guide”, p. 165." sqref="A14"/>
    <dataValidation allowBlank="1" showInputMessage="1" showErrorMessage="1" promptTitle="CII Urinal Replacement Program" prompt="This is based upon an estimated 6206 gallons of water saved per year per 1/2 gpf urinal.  Source: Alliance for Water Efficiency, “Water Conservation Tracking Tool, VERSION 1.2 User Guide”, p. 162." sqref="A15"/>
    <dataValidation allowBlank="1" showInputMessage="1" showErrorMessage="1" promptTitle="CII Dishwasher Replacement" prompt="This is based upon an estimated 57,757 gallons of water saved per year per dishwasher.  Source: Alliance for Water Efficiency, “Water Conservation Tracking Tool, VERSION 1.2 User Guide”, p. 174_x000a_." sqref="A16"/>
    <dataValidation allowBlank="1" showInputMessage="1" showErrorMessage="1" promptTitle="CII Kitchen Food Steamer " prompt="This is based upon an estimated 81,500 gallons of water saved per year per food steamer.  Source: Alliance for Water Efficiency, “Water Conservation Tracking Tool, VERSION 1.2 User Guide”, p. 174." sqref="A17"/>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B3:C22"/>
  <sheetViews>
    <sheetView workbookViewId="0">
      <selection activeCell="B4" sqref="B4"/>
    </sheetView>
  </sheetViews>
  <sheetFormatPr defaultRowHeight="15"/>
  <cols>
    <col min="2" max="2" width="30.7109375" customWidth="1"/>
    <col min="3" max="3" width="37.28515625" customWidth="1"/>
  </cols>
  <sheetData>
    <row r="3" spans="2:3" ht="29.25" customHeight="1">
      <c r="B3" s="186" t="s">
        <v>356</v>
      </c>
      <c r="C3" s="288" t="s">
        <v>360</v>
      </c>
    </row>
    <row r="4" spans="2:3" ht="71.25" customHeight="1">
      <c r="B4" s="289" t="s">
        <v>112</v>
      </c>
      <c r="C4" s="250" t="s">
        <v>358</v>
      </c>
    </row>
    <row r="5" spans="2:3" ht="36.75" customHeight="1">
      <c r="B5" s="289" t="s">
        <v>245</v>
      </c>
    </row>
    <row r="6" spans="2:3" ht="33.75" customHeight="1">
      <c r="B6" s="289" t="s">
        <v>260</v>
      </c>
    </row>
    <row r="7" spans="2:3" ht="30" customHeight="1">
      <c r="B7" s="289" t="s">
        <v>261</v>
      </c>
      <c r="C7" s="214">
        <v>2062</v>
      </c>
    </row>
    <row r="8" spans="2:3" ht="18" customHeight="1">
      <c r="B8" s="289"/>
      <c r="C8" s="214">
        <v>1898</v>
      </c>
    </row>
    <row r="9" spans="2:3" ht="27.75" customHeight="1">
      <c r="B9" s="289" t="s">
        <v>282</v>
      </c>
      <c r="C9" s="214">
        <v>7043</v>
      </c>
    </row>
    <row r="10" spans="2:3" ht="21" customHeight="1">
      <c r="B10" s="289" t="s">
        <v>128</v>
      </c>
      <c r="C10" s="214"/>
    </row>
    <row r="11" spans="2:3" ht="18.75" customHeight="1">
      <c r="B11" s="289" t="s">
        <v>281</v>
      </c>
      <c r="C11" s="214">
        <v>12373</v>
      </c>
    </row>
    <row r="12" spans="2:3">
      <c r="B12" s="289"/>
      <c r="C12" s="214">
        <v>10950</v>
      </c>
    </row>
    <row r="13" spans="2:3" ht="28.5" customHeight="1">
      <c r="B13" s="289" t="s">
        <v>254</v>
      </c>
      <c r="C13" s="214">
        <v>31435</v>
      </c>
    </row>
    <row r="14" spans="2:3" ht="32.25" customHeight="1">
      <c r="B14" s="289" t="s">
        <v>280</v>
      </c>
      <c r="C14" s="214">
        <v>10585</v>
      </c>
    </row>
    <row r="15" spans="2:3" ht="33" customHeight="1">
      <c r="B15" s="289" t="s">
        <v>253</v>
      </c>
      <c r="C15" s="214">
        <v>6206</v>
      </c>
    </row>
    <row r="16" spans="2:3" ht="29.25" customHeight="1">
      <c r="B16" s="289" t="s">
        <v>257</v>
      </c>
      <c r="C16" s="214">
        <v>57757</v>
      </c>
    </row>
    <row r="17" spans="2:3" ht="29.25" customHeight="1">
      <c r="B17" s="289" t="s">
        <v>285</v>
      </c>
      <c r="C17" s="214">
        <v>81500</v>
      </c>
    </row>
    <row r="22" spans="2:3" ht="75">
      <c r="B22" s="250" t="s">
        <v>357</v>
      </c>
    </row>
  </sheetData>
  <dataValidations count="6">
    <dataValidation allowBlank="1" showInputMessage="1" showErrorMessage="1" promptTitle="Residential Water Audit Program" prompt="Based upon an estimated 12,373 gallons of water saved per year per single family home and 10950 gallons per year for multi family units.  Source: Alliance for Water Efficiency, “Water Conservation Tracking Tool, VERSION 1.2 User Guide”, pp. 111 and 114." sqref="B11:B12"/>
    <dataValidation allowBlank="1" showInputMessage="1" showErrorMessage="1" promptTitle="CII Laundromat Washer Replace" prompt="This is based upon an estimated 31,435 gallons of water saved per year per washing machine.  Source: Alliance for Water Efficiency, “Water Conservation Tracking Tool, VERSION 1.2 User Guide”, p. 171." sqref="B13"/>
    <dataValidation allowBlank="1" showInputMessage="1" showErrorMessage="1" promptTitle="CII Toilet Replacement Program" prompt="This is based upon an estimated 10,585 gallons of water saved per year per toilet replaced.  Source: Alliance for Water Efficiency, “Water Conservation Tracking Tool, VERSION 1.2 User Guide”, p. 165." sqref="B14"/>
    <dataValidation allowBlank="1" showInputMessage="1" showErrorMessage="1" promptTitle="CII Urinal Replacement Program" prompt="This is based upon an estimated 6206 gallons of water saved per year per 1/2 gpf urinal.  Source: Alliance for Water Efficiency, “Water Conservation Tracking Tool, VERSION 1.2 User Guide”, p. 162." sqref="B15"/>
    <dataValidation allowBlank="1" showInputMessage="1" showErrorMessage="1" promptTitle="CII Dishwasher Replacement" prompt="This is based upon an estimated 57,757 gallons of water saved per year per dishwasher.  Source: Alliance for Water Efficiency, “Water Conservation Tracking Tool, VERSION 1.2 User Guide”, p. 174_x000a_." sqref="B16"/>
    <dataValidation allowBlank="1" showInputMessage="1" showErrorMessage="1" promptTitle="CII Kitchen Food Steamer " prompt="This is based upon an estimated 81,500 gallons of water saved per year per food steamer.  Source: Alliance for Water Efficiency, “Water Conservation Tracking Tool, VERSION 1.2 User Guide”, p. 174." sqref="B17"/>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sheetPr codeName="Sheet6"/>
  <dimension ref="A1:D29"/>
  <sheetViews>
    <sheetView workbookViewId="0"/>
  </sheetViews>
  <sheetFormatPr defaultRowHeight="15"/>
  <cols>
    <col min="1" max="1" width="42.140625" customWidth="1"/>
    <col min="2" max="2" width="14.5703125" customWidth="1"/>
    <col min="3" max="3" width="16.5703125" customWidth="1"/>
    <col min="4" max="4" width="15.5703125" customWidth="1"/>
    <col min="5" max="5" width="8.28515625" customWidth="1"/>
    <col min="6" max="6" width="14.28515625" customWidth="1"/>
    <col min="7" max="7" width="20.140625" customWidth="1"/>
  </cols>
  <sheetData>
    <row r="1" spans="1:3" ht="15.75">
      <c r="A1" s="295">
        <f>'A-Input Water Use Data'!A6</f>
        <v>0</v>
      </c>
    </row>
    <row r="2" spans="1:3" ht="15.75">
      <c r="A2" s="295" t="s">
        <v>306</v>
      </c>
    </row>
    <row r="3" spans="1:3" ht="15.75">
      <c r="A3" s="295" t="s">
        <v>307</v>
      </c>
    </row>
    <row r="4" spans="1:3">
      <c r="C4" s="247" t="s">
        <v>304</v>
      </c>
    </row>
    <row r="6" spans="1:3" ht="16.5" customHeight="1">
      <c r="A6" s="190" t="s">
        <v>200</v>
      </c>
      <c r="B6" s="191">
        <f>'A-Output-WaterElectric Impact'!B72</f>
        <v>0</v>
      </c>
      <c r="C6" s="192" t="s">
        <v>189</v>
      </c>
    </row>
    <row r="7" spans="1:3" ht="18" customHeight="1">
      <c r="A7" s="190" t="s">
        <v>271</v>
      </c>
      <c r="B7" s="191">
        <f>'A-Output-WaterElectric Impact'!B73</f>
        <v>0</v>
      </c>
      <c r="C7" s="192" t="s">
        <v>189</v>
      </c>
    </row>
    <row r="8" spans="1:3" ht="19.5" customHeight="1">
      <c r="A8" s="190" t="s">
        <v>188</v>
      </c>
      <c r="B8" s="193">
        <f>'A-Output-WaterElectric Impact'!B74+'A-Output-WaterElectric Impact'!B75</f>
        <v>0</v>
      </c>
      <c r="C8" s="192" t="s">
        <v>190</v>
      </c>
    </row>
    <row r="10" spans="1:3">
      <c r="A10" s="194" t="s">
        <v>178</v>
      </c>
      <c r="B10" s="194"/>
      <c r="C10" s="194"/>
    </row>
    <row r="11" spans="1:3" ht="15.75" customHeight="1">
      <c r="A11" s="194" t="s">
        <v>191</v>
      </c>
      <c r="B11" s="194"/>
      <c r="C11" s="194"/>
    </row>
    <row r="12" spans="1:3">
      <c r="A12" s="174" t="s">
        <v>5</v>
      </c>
      <c r="B12" s="277" t="s">
        <v>139</v>
      </c>
      <c r="C12" s="277"/>
    </row>
    <row r="13" spans="1:3" ht="18.75">
      <c r="A13" s="278" t="s">
        <v>84</v>
      </c>
      <c r="B13" s="282">
        <f>'A-Output-Emissions Impacts'!B67</f>
        <v>0</v>
      </c>
      <c r="C13" s="283" t="s">
        <v>349</v>
      </c>
    </row>
    <row r="14" spans="1:3" ht="18.75">
      <c r="A14" s="279" t="s">
        <v>85</v>
      </c>
      <c r="B14" s="282">
        <f>'A-Output-Emissions Impacts'!B68</f>
        <v>0</v>
      </c>
      <c r="C14" s="283" t="s">
        <v>349</v>
      </c>
    </row>
    <row r="15" spans="1:3" ht="18.75">
      <c r="A15" s="279" t="s">
        <v>86</v>
      </c>
      <c r="B15" s="282">
        <f>'A-Output-Emissions Impacts'!B69</f>
        <v>0</v>
      </c>
      <c r="C15" s="283" t="s">
        <v>349</v>
      </c>
    </row>
    <row r="16" spans="1:3" ht="18.75">
      <c r="A16" s="279" t="s">
        <v>87</v>
      </c>
      <c r="B16" s="282">
        <f>'A-Output-Emissions Impacts'!B70</f>
        <v>0</v>
      </c>
      <c r="C16" s="283" t="s">
        <v>349</v>
      </c>
    </row>
    <row r="17" spans="1:4" ht="18.75">
      <c r="A17" s="279" t="s">
        <v>88</v>
      </c>
      <c r="B17" s="284">
        <f>'A-Output-Emissions Impacts'!B71</f>
        <v>0</v>
      </c>
      <c r="C17" s="283" t="s">
        <v>349</v>
      </c>
    </row>
    <row r="18" spans="1:4" ht="18.75">
      <c r="A18" s="279" t="s">
        <v>89</v>
      </c>
      <c r="B18" s="282">
        <f>'A-Output-Emissions Impacts'!B72</f>
        <v>0</v>
      </c>
      <c r="C18" s="283" t="s">
        <v>349</v>
      </c>
    </row>
    <row r="19" spans="1:4" ht="18.75">
      <c r="A19" s="279" t="s">
        <v>90</v>
      </c>
      <c r="B19" s="280">
        <f>'A-Output-Emissions Impacts'!B73</f>
        <v>0</v>
      </c>
      <c r="C19" s="281" t="s">
        <v>349</v>
      </c>
    </row>
    <row r="21" spans="1:4">
      <c r="A21" s="133" t="s">
        <v>131</v>
      </c>
      <c r="B21" s="187" t="s">
        <v>102</v>
      </c>
      <c r="C21" s="187" t="s">
        <v>185</v>
      </c>
      <c r="D21" s="135" t="s">
        <v>186</v>
      </c>
    </row>
    <row r="22" spans="1:4" ht="30">
      <c r="A22" s="188" t="s">
        <v>199</v>
      </c>
      <c r="B22" s="243"/>
      <c r="C22" s="285"/>
      <c r="D22" s="243">
        <f>'A-Output-WaterElectric Impact'!B76</f>
        <v>0</v>
      </c>
    </row>
    <row r="23" spans="1:4" ht="18.75">
      <c r="A23" s="154" t="s">
        <v>272</v>
      </c>
      <c r="B23" s="243">
        <v>0.05</v>
      </c>
      <c r="C23" s="244">
        <f>B13/2000</f>
        <v>0</v>
      </c>
      <c r="D23" s="243">
        <f>B23*(B13/2000)</f>
        <v>0</v>
      </c>
    </row>
    <row r="24" spans="1:4" ht="18.75">
      <c r="A24" s="97" t="s">
        <v>273</v>
      </c>
      <c r="B24" s="243">
        <v>36</v>
      </c>
      <c r="C24" s="286">
        <f>B14/2000</f>
        <v>0</v>
      </c>
      <c r="D24" s="243">
        <f>B24*(B14/2000)</f>
        <v>0</v>
      </c>
    </row>
    <row r="25" spans="1:4">
      <c r="A25" s="97" t="s">
        <v>274</v>
      </c>
      <c r="B25" s="243">
        <v>323</v>
      </c>
      <c r="C25" s="286">
        <f>B15/2000</f>
        <v>0</v>
      </c>
      <c r="D25" s="243">
        <f>B25*(B15/2000)</f>
        <v>0</v>
      </c>
    </row>
    <row r="26" spans="1:4">
      <c r="A26" s="189" t="s">
        <v>187</v>
      </c>
      <c r="B26" s="243"/>
      <c r="C26" s="285"/>
      <c r="D26" s="243">
        <f>SUM(D22:D25)</f>
        <v>0</v>
      </c>
    </row>
    <row r="28" spans="1:4" ht="39">
      <c r="C28" s="248" t="s">
        <v>323</v>
      </c>
    </row>
    <row r="29" spans="1:4" ht="39">
      <c r="C29" s="248" t="s">
        <v>324</v>
      </c>
    </row>
  </sheetData>
  <sheetProtection password="8197" sheet="1" objects="1" scenarios="1"/>
  <conditionalFormatting sqref="B9:B19 C10:C19">
    <cfRule type="expression" priority="4">
      <formula>"iserror(e1)"</formula>
    </cfRule>
  </conditionalFormatting>
  <hyperlinks>
    <hyperlink ref="C4" location="Overview!A1" display="Return to Overview Page"/>
    <hyperlink ref="C28" location="'A-Output-Emissions Impacts'!A1" display="Go to &quot;A-Output-Emissions Impacts&quot; Worksheet"/>
    <hyperlink ref="C29" location="'A-Output-WaterElectric Impact'!A1" display="Return to&quot;A-Output WaterElectric Impact&quot; Worksheet"/>
  </hyperlink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sheetPr codeName="Sheet7"/>
  <dimension ref="A1:H62"/>
  <sheetViews>
    <sheetView topLeftCell="A2" workbookViewId="0">
      <selection activeCell="C25" sqref="C25"/>
    </sheetView>
  </sheetViews>
  <sheetFormatPr defaultRowHeight="15"/>
  <cols>
    <col min="2" max="2" width="34.28515625" customWidth="1"/>
    <col min="3" max="3" width="15.42578125" customWidth="1"/>
    <col min="4" max="4" width="15.140625" customWidth="1"/>
    <col min="5" max="5" width="14.28515625" customWidth="1"/>
    <col min="6" max="6" width="14.5703125" customWidth="1"/>
    <col min="7" max="7" width="16" customWidth="1"/>
    <col min="8" max="8" width="15.85546875" customWidth="1"/>
  </cols>
  <sheetData>
    <row r="1" spans="1:8">
      <c r="D1" s="118" t="s">
        <v>92</v>
      </c>
    </row>
    <row r="2" spans="1:8">
      <c r="B2" s="75"/>
    </row>
    <row r="3" spans="1:8">
      <c r="C3" s="322" t="s">
        <v>79</v>
      </c>
      <c r="D3" s="322"/>
      <c r="E3" s="322"/>
      <c r="F3" s="80"/>
      <c r="G3" s="126"/>
    </row>
    <row r="4" spans="1:8" ht="63" customHeight="1">
      <c r="B4" s="128" t="s">
        <v>97</v>
      </c>
      <c r="C4" s="86" t="s">
        <v>98</v>
      </c>
      <c r="E4" s="126"/>
    </row>
    <row r="5" spans="1:8">
      <c r="A5" s="75"/>
      <c r="B5" s="85" t="s">
        <v>95</v>
      </c>
      <c r="C5" s="102" t="str">
        <f>'A-Output-WaterElectric Impact'!B12</f>
        <v>0</v>
      </c>
      <c r="D5" s="125"/>
      <c r="G5" s="120"/>
    </row>
    <row r="6" spans="1:8">
      <c r="A6" s="75"/>
      <c r="B6" s="84" t="s">
        <v>96</v>
      </c>
      <c r="C6" s="102" t="str">
        <f>'A-Output-WaterElectric Impact'!B13</f>
        <v>0</v>
      </c>
      <c r="D6" s="125"/>
      <c r="G6" s="120"/>
    </row>
    <row r="7" spans="1:8">
      <c r="A7" s="75"/>
    </row>
    <row r="8" spans="1:8" ht="61.5" customHeight="1">
      <c r="A8" s="75"/>
      <c r="B8" s="89" t="s">
        <v>120</v>
      </c>
      <c r="C8" s="86" t="s">
        <v>117</v>
      </c>
      <c r="D8" s="79"/>
    </row>
    <row r="9" spans="1:8" ht="45.75" customHeight="1">
      <c r="A9" s="75"/>
      <c r="B9" s="82" t="s">
        <v>123</v>
      </c>
      <c r="C9" s="102">
        <f>'A-Input Water Use Data'!B14/1000000</f>
        <v>0</v>
      </c>
      <c r="D9" s="62"/>
    </row>
    <row r="10" spans="1:8" ht="45" customHeight="1">
      <c r="A10" s="75"/>
      <c r="B10" s="83" t="s">
        <v>124</v>
      </c>
      <c r="C10" s="102">
        <f>'A-Input Water Use Data'!B16/1000000</f>
        <v>0</v>
      </c>
      <c r="D10" s="62"/>
    </row>
    <row r="12" spans="1:8" ht="34.5" customHeight="1">
      <c r="B12" s="119" t="s">
        <v>109</v>
      </c>
      <c r="C12" s="323" t="s">
        <v>108</v>
      </c>
      <c r="D12" s="323"/>
      <c r="E12" s="323"/>
      <c r="F12" s="323"/>
      <c r="G12" s="323"/>
    </row>
    <row r="13" spans="1:8" ht="21.75" customHeight="1">
      <c r="B13" s="88" t="s">
        <v>5</v>
      </c>
      <c r="C13" s="90" t="s">
        <v>51</v>
      </c>
      <c r="D13" s="90" t="s">
        <v>132</v>
      </c>
      <c r="E13" s="90" t="s">
        <v>55</v>
      </c>
      <c r="F13" s="90" t="s">
        <v>53</v>
      </c>
      <c r="G13" s="90" t="s">
        <v>52</v>
      </c>
      <c r="H13" s="90" t="s">
        <v>54</v>
      </c>
    </row>
    <row r="14" spans="1:8" ht="18.75">
      <c r="B14" s="97" t="s">
        <v>84</v>
      </c>
      <c r="C14" s="94">
        <f>(C9*(C5/1000))*MROE!D9</f>
        <v>0</v>
      </c>
      <c r="D14" s="94">
        <f>(C9*(C5/1000))*RFCM!D9</f>
        <v>0</v>
      </c>
      <c r="E14" s="94">
        <f>(C9*(C5/1000))*RFCW!D9</f>
        <v>0</v>
      </c>
      <c r="F14" s="94">
        <f>(C9*(C5/1000))*NYUP!D9</f>
        <v>0</v>
      </c>
      <c r="G14" s="94">
        <f>(C9*(C5/1000))*MROW!D9</f>
        <v>0</v>
      </c>
      <c r="H14" s="94">
        <f>(C9*(C5/1000))*RFCE!D9</f>
        <v>0</v>
      </c>
    </row>
    <row r="15" spans="1:8" ht="18.75">
      <c r="B15" s="97" t="s">
        <v>85</v>
      </c>
      <c r="C15" s="94">
        <f>(C9*(C5/1000))*MROE!D10</f>
        <v>0</v>
      </c>
      <c r="D15" s="94">
        <f>(C9*(C5/1000))*RFCM!D10</f>
        <v>0</v>
      </c>
      <c r="E15" s="94">
        <f>(C9*(C5/1000))*RFCW!D10</f>
        <v>0</v>
      </c>
      <c r="F15" s="94">
        <f>(C9*(C5/1000))*NYUP!D10</f>
        <v>0</v>
      </c>
      <c r="G15" s="94">
        <f>(C9*(C5/1000))*MROW!D10</f>
        <v>0</v>
      </c>
      <c r="H15" s="94">
        <f>(C9*(C5/1000))*RFCE!D10</f>
        <v>0</v>
      </c>
    </row>
    <row r="16" spans="1:8" ht="18.75">
      <c r="B16" s="97" t="s">
        <v>86</v>
      </c>
      <c r="C16" s="94">
        <f>(C9*(C5/1000))*MROE!D11</f>
        <v>0</v>
      </c>
      <c r="D16" s="94">
        <f>(C9*(C5/1000))*RFCM!D11</f>
        <v>0</v>
      </c>
      <c r="E16" s="94">
        <f>(C9*(C5/1000))*RFCW!D11</f>
        <v>0</v>
      </c>
      <c r="F16" s="94">
        <f>(C9*(C5/1000))*NYUP!D11</f>
        <v>0</v>
      </c>
      <c r="G16" s="94">
        <f>(C9*(C5/1000))*MROW!D12</f>
        <v>0</v>
      </c>
      <c r="H16" s="94">
        <f>(C9*(C5/1000))*RFCE!D11</f>
        <v>0</v>
      </c>
    </row>
    <row r="17" spans="2:8" ht="18.75">
      <c r="B17" s="97" t="s">
        <v>87</v>
      </c>
      <c r="C17" s="94">
        <f>(C9*(C5/1000))*MROE!D12</f>
        <v>0</v>
      </c>
      <c r="D17" s="94">
        <f>(C9*(C5/1000))*RFCM!D12</f>
        <v>0</v>
      </c>
      <c r="E17" s="94">
        <f>(C9*(C5/1000))*RFCW!D12</f>
        <v>0</v>
      </c>
      <c r="F17" s="94">
        <f>(C9*(C5/1000))*NYUP!D11</f>
        <v>0</v>
      </c>
      <c r="G17" s="94">
        <f>(C9*(C5/1000))*MROW!D11</f>
        <v>0</v>
      </c>
      <c r="H17" s="94">
        <f>(C9*(C5/1000))*RFCE!D12</f>
        <v>0</v>
      </c>
    </row>
    <row r="18" spans="2:8" ht="18.75">
      <c r="B18" s="97" t="s">
        <v>88</v>
      </c>
      <c r="C18" s="130">
        <f>(C9*(C5/1000000))*MROE!D13</f>
        <v>0</v>
      </c>
      <c r="D18" s="130">
        <f>(C9*(C5/1000000))*RFCM!D13</f>
        <v>0</v>
      </c>
      <c r="E18" s="130">
        <f>(C9*(C5/1000000))*RFCW!D13</f>
        <v>0</v>
      </c>
      <c r="F18" s="130">
        <f>(C9*(C5/1000000))*NYUP!D13</f>
        <v>0</v>
      </c>
      <c r="G18" s="130">
        <f>(C9*(C5/1000000))*MROW!D13</f>
        <v>0</v>
      </c>
      <c r="H18" s="130">
        <f>(C9*(C5/1000000))*RFCE!D13</f>
        <v>0</v>
      </c>
    </row>
    <row r="19" spans="2:8" ht="18.75">
      <c r="B19" s="97" t="s">
        <v>89</v>
      </c>
      <c r="C19" s="129">
        <f>(C9*(C5/1000000))*MROE!D14</f>
        <v>0</v>
      </c>
      <c r="D19" s="129">
        <f>(C9*(C5/1000000))*RFCM!D14</f>
        <v>0</v>
      </c>
      <c r="E19" s="129">
        <f>(C9*(C5/1000000))*RFCW!D14</f>
        <v>0</v>
      </c>
      <c r="F19" s="129">
        <f>(C9*(C5/1000000))*NYUP!D14</f>
        <v>0</v>
      </c>
      <c r="G19" s="129">
        <f>(C9*(C5/1000000))*MROW!D14</f>
        <v>0</v>
      </c>
      <c r="H19" s="94">
        <f>(C9*(C5/1000000))*RFCE!D14</f>
        <v>0</v>
      </c>
    </row>
    <row r="20" spans="2:8" ht="18.75">
      <c r="B20" s="97" t="s">
        <v>90</v>
      </c>
      <c r="C20" s="129">
        <f>(C9*(C5/1000000))*MROE!D15</f>
        <v>0</v>
      </c>
      <c r="D20" s="129">
        <f>(C9*(C5/1000000))*RFCM!D15</f>
        <v>0</v>
      </c>
      <c r="E20" s="129">
        <f>(C9*(C5/1000000))*RFCW!D15</f>
        <v>0</v>
      </c>
      <c r="F20" s="129">
        <f>(C9*(C5/1000000))*NYUP!D15</f>
        <v>0</v>
      </c>
      <c r="G20" s="129">
        <f>(C9*(C5/1000000))*MROW!D15</f>
        <v>0</v>
      </c>
      <c r="H20" s="94">
        <f>(C9*(C5/1000000))*RFCE!D15</f>
        <v>0</v>
      </c>
    </row>
    <row r="23" spans="2:8" ht="50.25" customHeight="1">
      <c r="B23" s="87" t="s">
        <v>101</v>
      </c>
      <c r="C23" s="323" t="s">
        <v>136</v>
      </c>
      <c r="D23" s="323"/>
      <c r="E23" s="323"/>
      <c r="F23" s="323"/>
      <c r="G23" s="323"/>
    </row>
    <row r="24" spans="2:8" ht="22.5" customHeight="1">
      <c r="B24" s="88" t="s">
        <v>5</v>
      </c>
      <c r="C24" s="90" t="s">
        <v>51</v>
      </c>
      <c r="D24" s="90" t="s">
        <v>132</v>
      </c>
      <c r="E24" s="90" t="s">
        <v>55</v>
      </c>
      <c r="F24" s="90" t="s">
        <v>53</v>
      </c>
      <c r="G24" s="90" t="s">
        <v>52</v>
      </c>
      <c r="H24" s="90" t="s">
        <v>54</v>
      </c>
    </row>
    <row r="25" spans="2:8" ht="18.75">
      <c r="B25" s="97" t="s">
        <v>84</v>
      </c>
      <c r="C25" s="94">
        <f>(C10*(C6/1000))*MROE!D9</f>
        <v>0</v>
      </c>
      <c r="D25" s="94">
        <f>(C10*(C6/1000))*RFCM!D9</f>
        <v>0</v>
      </c>
      <c r="E25" s="94">
        <f>(C10*(C6/1000))*RFCW!D9</f>
        <v>0</v>
      </c>
      <c r="F25" s="94">
        <f>(C10*(C6/1000))*NYUP!D9</f>
        <v>0</v>
      </c>
      <c r="G25" s="94">
        <f>(C10*(C6/1000))*MROW!D9</f>
        <v>0</v>
      </c>
      <c r="H25" s="94">
        <f>(C10*(C6/1000))*RFCE!D9</f>
        <v>0</v>
      </c>
    </row>
    <row r="26" spans="2:8" ht="18.75">
      <c r="B26" s="97" t="s">
        <v>85</v>
      </c>
      <c r="C26" s="94">
        <f>(C10*(C6/1000))*MROE!D10</f>
        <v>0</v>
      </c>
      <c r="D26" s="94">
        <f>(C10*(C6/1000))*RFCM!D10</f>
        <v>0</v>
      </c>
      <c r="E26" s="94">
        <f>(C10*(C6/1000))*RFCW!D10</f>
        <v>0</v>
      </c>
      <c r="F26" s="94">
        <f>(C10*(C6/1000))*NYUP!D10</f>
        <v>0</v>
      </c>
      <c r="G26" s="94">
        <f>(C10*(C6/1000))*MROW!D10</f>
        <v>0</v>
      </c>
      <c r="H26" s="94">
        <f>(C10*(C6/1000))*RFCE!D10</f>
        <v>0</v>
      </c>
    </row>
    <row r="27" spans="2:8" ht="18.75">
      <c r="B27" s="97" t="s">
        <v>86</v>
      </c>
      <c r="C27" s="94">
        <f>(C10*(C6/1000))*MROE!D11</f>
        <v>0</v>
      </c>
      <c r="D27" s="94">
        <f>(C10*(C6/1000))*RFCM!D11</f>
        <v>0</v>
      </c>
      <c r="E27" s="94">
        <f>(C10*(C6/1000))*RFCW!D11</f>
        <v>0</v>
      </c>
      <c r="F27" s="94">
        <f>(C10*(C6/1000))*NYUP!D11</f>
        <v>0</v>
      </c>
      <c r="G27" s="94">
        <f>(C10*(C6/1000))*MROW!D11</f>
        <v>0</v>
      </c>
      <c r="H27" s="94">
        <f>(C10*(C6/1000))*RFCE!D11</f>
        <v>0</v>
      </c>
    </row>
    <row r="28" spans="2:8" ht="18.75">
      <c r="B28" s="97" t="s">
        <v>87</v>
      </c>
      <c r="C28" s="94">
        <f>(C10*(C6/1000))*MROE!D12</f>
        <v>0</v>
      </c>
      <c r="D28" s="94">
        <f>(C10*(C6/1000))*RFCM!D12</f>
        <v>0</v>
      </c>
      <c r="E28" s="94">
        <f>(C10*(C6/1000))*RFCW!D12</f>
        <v>0</v>
      </c>
      <c r="F28" s="94">
        <f>(C10*(C6/1000))*NYUP!D12</f>
        <v>0</v>
      </c>
      <c r="G28" s="94">
        <f>(C10*(C6/1000))*MROW!D12</f>
        <v>0</v>
      </c>
      <c r="H28" s="94">
        <f>(C10*(C6/1000))*RFCE!D12</f>
        <v>0</v>
      </c>
    </row>
    <row r="29" spans="2:8" ht="18.75">
      <c r="B29" s="97" t="s">
        <v>88</v>
      </c>
      <c r="C29" s="130">
        <f>(C10*(C6/1000000))*MROE!D13</f>
        <v>0</v>
      </c>
      <c r="D29" s="130">
        <f>(C10*(C6/1000000))*RFCM!D13</f>
        <v>0</v>
      </c>
      <c r="E29" s="130">
        <f>(C10*(C6/1000000))*RFCW!D13</f>
        <v>0</v>
      </c>
      <c r="F29" s="130">
        <f>(C10*(C6/1000000))*NYUP!D13</f>
        <v>0</v>
      </c>
      <c r="G29" s="130">
        <f>(C10*(C6/1000000))*MROW!D13</f>
        <v>0</v>
      </c>
      <c r="H29" s="130">
        <f>(C10*(C6/1000000))*RFCE!D13</f>
        <v>0</v>
      </c>
    </row>
    <row r="30" spans="2:8" ht="18.75">
      <c r="B30" s="97" t="s">
        <v>89</v>
      </c>
      <c r="C30" s="130">
        <f>(C10*(C6/1000000))*MROE!D14</f>
        <v>0</v>
      </c>
      <c r="D30" s="130">
        <f>(C10*(C6/1000000))*RFCM!D14</f>
        <v>0</v>
      </c>
      <c r="E30" s="130">
        <f>(C10*(C6/1000000))*RFCW!D14</f>
        <v>0</v>
      </c>
      <c r="F30" s="130">
        <f>(C10*(C6/1000000))*NYUP!D14</f>
        <v>0</v>
      </c>
      <c r="G30" s="94">
        <f>(C10*(C6/1000000))*MROW!D14</f>
        <v>0</v>
      </c>
      <c r="H30" s="94">
        <f>(C10*(C6/1000000))*RFCE!D14</f>
        <v>0</v>
      </c>
    </row>
    <row r="31" spans="2:8" ht="18.75">
      <c r="B31" s="97" t="s">
        <v>90</v>
      </c>
      <c r="C31" s="130">
        <f>(C10*(C6/1000000))*MROE!D15</f>
        <v>0</v>
      </c>
      <c r="D31" s="130">
        <f>(C10*(C6/1000000))*RFCM!D15</f>
        <v>0</v>
      </c>
      <c r="E31" s="130">
        <f>(C10*(C6/1000000))*RFCW!D15</f>
        <v>0</v>
      </c>
      <c r="F31" s="130">
        <f>(C10*(C6/1000000))*NYUP!D15</f>
        <v>0</v>
      </c>
      <c r="G31" s="94">
        <f>(C10*(C6/1000000))*MROW!D15</f>
        <v>0</v>
      </c>
      <c r="H31" s="94">
        <f>(C10*(C6/1000000))*RFCE!D15</f>
        <v>0</v>
      </c>
    </row>
    <row r="35" spans="2:8" ht="57" customHeight="1">
      <c r="B35" s="103" t="s">
        <v>99</v>
      </c>
      <c r="C35" s="324" t="s">
        <v>91</v>
      </c>
      <c r="D35" s="324"/>
      <c r="E35" s="324"/>
      <c r="F35" s="324"/>
      <c r="G35" s="325"/>
    </row>
    <row r="36" spans="2:8">
      <c r="B36" s="104" t="s">
        <v>5</v>
      </c>
      <c r="C36" s="90" t="s">
        <v>51</v>
      </c>
      <c r="D36" s="90" t="s">
        <v>132</v>
      </c>
      <c r="E36" s="90" t="s">
        <v>55</v>
      </c>
      <c r="F36" s="90" t="s">
        <v>53</v>
      </c>
      <c r="G36" s="90" t="s">
        <v>52</v>
      </c>
      <c r="H36" s="90" t="s">
        <v>54</v>
      </c>
    </row>
    <row r="37" spans="2:8" ht="18.75">
      <c r="B37" s="106" t="s">
        <v>84</v>
      </c>
      <c r="C37" s="94">
        <f t="shared" ref="C37:G43" si="0">C14+C25</f>
        <v>0</v>
      </c>
      <c r="D37" s="107">
        <f t="shared" si="0"/>
        <v>0</v>
      </c>
      <c r="E37" s="107">
        <f t="shared" si="0"/>
        <v>0</v>
      </c>
      <c r="F37" s="107">
        <f t="shared" si="0"/>
        <v>0</v>
      </c>
      <c r="G37" s="108">
        <f t="shared" si="0"/>
        <v>0</v>
      </c>
      <c r="H37" s="108">
        <f t="shared" ref="H37" si="1">H14+H25</f>
        <v>0</v>
      </c>
    </row>
    <row r="38" spans="2:8" ht="18.75">
      <c r="B38" s="106" t="s">
        <v>85</v>
      </c>
      <c r="C38" s="94">
        <f t="shared" si="0"/>
        <v>0</v>
      </c>
      <c r="D38" s="107">
        <f t="shared" si="0"/>
        <v>0</v>
      </c>
      <c r="E38" s="107">
        <f t="shared" si="0"/>
        <v>0</v>
      </c>
      <c r="F38" s="107">
        <f t="shared" si="0"/>
        <v>0</v>
      </c>
      <c r="G38" s="108">
        <f t="shared" si="0"/>
        <v>0</v>
      </c>
      <c r="H38" s="108">
        <f t="shared" ref="H38" si="2">H15+H26</f>
        <v>0</v>
      </c>
    </row>
    <row r="39" spans="2:8" ht="18.75">
      <c r="B39" s="106" t="s">
        <v>86</v>
      </c>
      <c r="C39" s="94">
        <f t="shared" si="0"/>
        <v>0</v>
      </c>
      <c r="D39" s="107">
        <f t="shared" si="0"/>
        <v>0</v>
      </c>
      <c r="E39" s="107">
        <f t="shared" si="0"/>
        <v>0</v>
      </c>
      <c r="F39" s="107">
        <f t="shared" si="0"/>
        <v>0</v>
      </c>
      <c r="G39" s="108">
        <f t="shared" si="0"/>
        <v>0</v>
      </c>
      <c r="H39" s="108">
        <f t="shared" ref="H39" si="3">H16+H27</f>
        <v>0</v>
      </c>
    </row>
    <row r="40" spans="2:8" ht="18.75">
      <c r="B40" s="106" t="s">
        <v>87</v>
      </c>
      <c r="C40" s="94">
        <f t="shared" si="0"/>
        <v>0</v>
      </c>
      <c r="D40" s="107">
        <f t="shared" si="0"/>
        <v>0</v>
      </c>
      <c r="E40" s="107">
        <f t="shared" si="0"/>
        <v>0</v>
      </c>
      <c r="F40" s="107">
        <f t="shared" si="0"/>
        <v>0</v>
      </c>
      <c r="G40" s="108">
        <f t="shared" si="0"/>
        <v>0</v>
      </c>
      <c r="H40" s="108">
        <f t="shared" ref="H40" si="4">H17+H28</f>
        <v>0</v>
      </c>
    </row>
    <row r="41" spans="2:8" ht="18.75">
      <c r="B41" s="106" t="s">
        <v>88</v>
      </c>
      <c r="C41" s="95">
        <f t="shared" si="0"/>
        <v>0</v>
      </c>
      <c r="D41" s="109">
        <f t="shared" si="0"/>
        <v>0</v>
      </c>
      <c r="E41" s="109">
        <f t="shared" si="0"/>
        <v>0</v>
      </c>
      <c r="F41" s="109">
        <f t="shared" si="0"/>
        <v>0</v>
      </c>
      <c r="G41" s="110">
        <f t="shared" si="0"/>
        <v>0</v>
      </c>
      <c r="H41" s="110">
        <f t="shared" ref="H41" si="5">H18+H29</f>
        <v>0</v>
      </c>
    </row>
    <row r="42" spans="2:8" ht="18.75">
      <c r="B42" s="106" t="s">
        <v>89</v>
      </c>
      <c r="C42" s="96">
        <f t="shared" si="0"/>
        <v>0</v>
      </c>
      <c r="D42" s="111">
        <f t="shared" si="0"/>
        <v>0</v>
      </c>
      <c r="E42" s="111">
        <f t="shared" si="0"/>
        <v>0</v>
      </c>
      <c r="F42" s="111">
        <f t="shared" si="0"/>
        <v>0</v>
      </c>
      <c r="G42" s="112">
        <f t="shared" si="0"/>
        <v>0</v>
      </c>
      <c r="H42" s="112">
        <f t="shared" ref="H42" si="6">H19+H30</f>
        <v>0</v>
      </c>
    </row>
    <row r="43" spans="2:8" ht="18.75">
      <c r="B43" s="113" t="s">
        <v>90</v>
      </c>
      <c r="C43" s="114">
        <f t="shared" si="0"/>
        <v>0</v>
      </c>
      <c r="D43" s="115">
        <f t="shared" si="0"/>
        <v>0</v>
      </c>
      <c r="E43" s="115">
        <f t="shared" si="0"/>
        <v>0</v>
      </c>
      <c r="F43" s="115">
        <f t="shared" si="0"/>
        <v>0</v>
      </c>
      <c r="G43" s="116">
        <f t="shared" si="0"/>
        <v>0</v>
      </c>
      <c r="H43" s="116">
        <f t="shared" ref="H43" si="7">H20+H31</f>
        <v>0</v>
      </c>
    </row>
    <row r="46" spans="2:8">
      <c r="B46" s="122" t="s">
        <v>107</v>
      </c>
      <c r="C46" s="124">
        <f>C37/2204.6</f>
        <v>0</v>
      </c>
      <c r="D46" s="124">
        <f>D37/2204.6</f>
        <v>0</v>
      </c>
      <c r="E46" s="124">
        <f>E37/2204.6</f>
        <v>0</v>
      </c>
      <c r="F46" s="63">
        <f>F37/2204.6</f>
        <v>0</v>
      </c>
      <c r="G46" s="63">
        <f>G37/2204.6</f>
        <v>0</v>
      </c>
    </row>
    <row r="47" spans="2:8">
      <c r="B47" s="121"/>
      <c r="C47" s="120"/>
      <c r="D47" s="120"/>
      <c r="E47" s="120"/>
      <c r="F47" s="120"/>
      <c r="G47" s="120"/>
    </row>
    <row r="48" spans="2:8">
      <c r="B48" s="120"/>
      <c r="C48" s="123"/>
      <c r="D48" s="123"/>
      <c r="E48" s="123"/>
      <c r="F48" s="123"/>
      <c r="G48" s="123"/>
    </row>
    <row r="49" spans="2:7">
      <c r="B49" s="120"/>
      <c r="C49" s="123"/>
      <c r="D49" s="123"/>
      <c r="E49" s="123"/>
      <c r="F49" s="123"/>
      <c r="G49" s="123"/>
    </row>
    <row r="50" spans="2:7">
      <c r="B50" s="120"/>
      <c r="C50" s="123"/>
      <c r="D50" s="123"/>
      <c r="E50" s="123"/>
      <c r="F50" s="123"/>
      <c r="G50" s="123"/>
    </row>
    <row r="51" spans="2:7">
      <c r="B51" s="120"/>
      <c r="C51" s="123"/>
      <c r="D51" s="123"/>
      <c r="E51" s="123"/>
      <c r="F51" s="123"/>
      <c r="G51" s="123"/>
    </row>
    <row r="52" spans="2:7">
      <c r="B52" s="120"/>
      <c r="C52" s="123"/>
      <c r="D52" s="123"/>
      <c r="E52" s="123"/>
      <c r="F52" s="123"/>
      <c r="G52" s="123"/>
    </row>
    <row r="53" spans="2:7">
      <c r="B53" s="120"/>
      <c r="C53" s="123"/>
      <c r="D53" s="123"/>
      <c r="E53" s="123"/>
      <c r="F53" s="123"/>
      <c r="G53" s="123"/>
    </row>
    <row r="54" spans="2:7">
      <c r="B54" s="120"/>
      <c r="C54" s="123"/>
      <c r="D54" s="123"/>
      <c r="E54" s="123"/>
      <c r="F54" s="123"/>
      <c r="G54" s="123"/>
    </row>
    <row r="55" spans="2:7">
      <c r="B55" s="120"/>
      <c r="C55" s="123"/>
      <c r="D55" s="123"/>
      <c r="E55" s="123"/>
      <c r="F55" s="123"/>
      <c r="G55" s="123"/>
    </row>
    <row r="56" spans="2:7">
      <c r="B56" s="120"/>
      <c r="C56" s="123"/>
      <c r="D56" s="123"/>
      <c r="E56" s="123"/>
      <c r="F56" s="123"/>
      <c r="G56" s="123"/>
    </row>
    <row r="57" spans="2:7">
      <c r="B57" s="120"/>
      <c r="C57" s="123"/>
      <c r="D57" s="123"/>
      <c r="E57" s="123"/>
      <c r="F57" s="123"/>
      <c r="G57" s="123"/>
    </row>
    <row r="58" spans="2:7">
      <c r="B58" s="120"/>
      <c r="C58" s="123"/>
      <c r="D58" s="123"/>
      <c r="E58" s="123"/>
      <c r="F58" s="123"/>
      <c r="G58" s="123"/>
    </row>
    <row r="59" spans="2:7">
      <c r="B59" s="120"/>
      <c r="C59" s="123"/>
      <c r="D59" s="123"/>
      <c r="E59" s="123"/>
      <c r="F59" s="123"/>
      <c r="G59" s="123"/>
    </row>
    <row r="60" spans="2:7">
      <c r="B60" s="120"/>
      <c r="C60" s="123"/>
      <c r="D60" s="123"/>
      <c r="E60" s="123"/>
      <c r="F60" s="123"/>
      <c r="G60" s="123"/>
    </row>
    <row r="61" spans="2:7">
      <c r="B61" s="120"/>
      <c r="C61" s="123"/>
      <c r="D61" s="123"/>
      <c r="E61" s="123"/>
      <c r="F61" s="123"/>
      <c r="G61" s="123"/>
    </row>
    <row r="62" spans="2:7">
      <c r="B62" s="120"/>
      <c r="C62" s="123"/>
      <c r="D62" s="123"/>
      <c r="E62" s="123"/>
      <c r="F62" s="123"/>
      <c r="G62" s="123"/>
    </row>
  </sheetData>
  <mergeCells count="4">
    <mergeCell ref="C3:E3"/>
    <mergeCell ref="C12:G12"/>
    <mergeCell ref="C23:G23"/>
    <mergeCell ref="C35:G3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sheetPr codeName="Sheet8">
    <tabColor rgb="FF002060"/>
  </sheetPr>
  <dimension ref="A1:I62"/>
  <sheetViews>
    <sheetView topLeftCell="A4" workbookViewId="0">
      <selection activeCell="B11" sqref="B11"/>
    </sheetView>
  </sheetViews>
  <sheetFormatPr defaultRowHeight="15"/>
  <cols>
    <col min="2" max="2" width="38.140625" customWidth="1"/>
    <col min="3" max="3" width="18" customWidth="1"/>
    <col min="4" max="4" width="19.5703125" customWidth="1"/>
    <col min="5" max="5" width="19.42578125" customWidth="1"/>
    <col min="6" max="6" width="15.7109375" customWidth="1"/>
    <col min="7" max="7" width="14.85546875" customWidth="1"/>
    <col min="8" max="8" width="15.7109375" customWidth="1"/>
  </cols>
  <sheetData>
    <row r="1" spans="1:9">
      <c r="D1" s="118" t="s">
        <v>92</v>
      </c>
    </row>
    <row r="2" spans="1:9">
      <c r="B2" s="75"/>
    </row>
    <row r="3" spans="1:9">
      <c r="C3" s="322" t="s">
        <v>79</v>
      </c>
      <c r="D3" s="322"/>
      <c r="E3" s="322"/>
      <c r="F3" s="80"/>
      <c r="G3" s="78"/>
      <c r="H3" s="78"/>
      <c r="I3" s="78"/>
    </row>
    <row r="4" spans="1:9" ht="45.75">
      <c r="B4" s="81" t="s">
        <v>97</v>
      </c>
      <c r="C4" s="86" t="s">
        <v>98</v>
      </c>
      <c r="E4" s="127"/>
    </row>
    <row r="5" spans="1:9">
      <c r="A5" s="75"/>
      <c r="B5" s="85" t="s">
        <v>95</v>
      </c>
      <c r="C5" s="102" t="str">
        <f>'A-Output-WaterElectric Impact'!B12</f>
        <v>0</v>
      </c>
      <c r="D5" s="125"/>
      <c r="G5" s="120"/>
      <c r="H5" s="61"/>
    </row>
    <row r="6" spans="1:9">
      <c r="A6" s="75"/>
      <c r="B6" s="84" t="s">
        <v>96</v>
      </c>
      <c r="C6" s="102" t="str">
        <f>'A-Output-WaterElectric Impact'!B13</f>
        <v>0</v>
      </c>
      <c r="D6" s="125"/>
      <c r="G6" s="120"/>
      <c r="H6" s="61"/>
    </row>
    <row r="7" spans="1:9">
      <c r="A7" s="75"/>
    </row>
    <row r="8" spans="1:9" ht="37.5">
      <c r="A8" s="75"/>
      <c r="B8" s="89" t="s">
        <v>94</v>
      </c>
      <c r="C8" s="86" t="s">
        <v>106</v>
      </c>
      <c r="D8" s="79"/>
    </row>
    <row r="9" spans="1:9" ht="46.5" customHeight="1">
      <c r="A9" s="75"/>
      <c r="B9" s="82" t="s">
        <v>310</v>
      </c>
      <c r="C9" s="102">
        <f>'A-Output-WaterElectric Impact'!B72/1000000</f>
        <v>0</v>
      </c>
      <c r="D9" s="62"/>
    </row>
    <row r="10" spans="1:9" ht="46.5" customHeight="1">
      <c r="A10" s="75"/>
      <c r="B10" s="83" t="s">
        <v>311</v>
      </c>
      <c r="C10" s="102">
        <f>'A-Output-WaterElectric Impact'!B73/1000000</f>
        <v>0</v>
      </c>
      <c r="D10" s="62"/>
    </row>
    <row r="12" spans="1:9" ht="34.5" customHeight="1">
      <c r="B12" s="119" t="s">
        <v>100</v>
      </c>
      <c r="C12" s="323" t="s">
        <v>91</v>
      </c>
      <c r="D12" s="323"/>
      <c r="E12" s="323"/>
      <c r="F12" s="323"/>
      <c r="G12" s="323"/>
    </row>
    <row r="13" spans="1:9" ht="45" customHeight="1">
      <c r="B13" s="88" t="s">
        <v>5</v>
      </c>
      <c r="C13" s="90" t="s">
        <v>93</v>
      </c>
      <c r="D13" s="91" t="s">
        <v>80</v>
      </c>
      <c r="E13" s="91" t="s">
        <v>81</v>
      </c>
      <c r="F13" s="91" t="s">
        <v>82</v>
      </c>
      <c r="G13" s="91" t="s">
        <v>83</v>
      </c>
      <c r="H13" s="90" t="s">
        <v>159</v>
      </c>
    </row>
    <row r="14" spans="1:9" ht="18.75">
      <c r="B14" s="97" t="s">
        <v>84</v>
      </c>
      <c r="C14" s="94">
        <f>MROE!B36*(C9*(C5/1000))</f>
        <v>0</v>
      </c>
      <c r="D14" s="92">
        <f>RFCM!B37*(C9*(C5/1000))</f>
        <v>0</v>
      </c>
      <c r="E14" s="92">
        <f>RFCW!B37*(C9*(C5/1000))</f>
        <v>0</v>
      </c>
      <c r="F14" s="92">
        <f>NYUP!B37*(C9*(C5/1000))</f>
        <v>0</v>
      </c>
      <c r="G14" s="92">
        <f>MROW!B37*(C9*(C5/1000))</f>
        <v>0</v>
      </c>
      <c r="H14" s="94">
        <f>(C9*(C5/1000))*RFCE!B37</f>
        <v>0</v>
      </c>
    </row>
    <row r="15" spans="1:9" ht="18.75">
      <c r="B15" s="97" t="s">
        <v>85</v>
      </c>
      <c r="C15" s="94">
        <f>MROE!B37*(C9*(C5/1000))</f>
        <v>0</v>
      </c>
      <c r="D15" s="92">
        <f>RFCM!B38*(C9*(C5/1000))</f>
        <v>0</v>
      </c>
      <c r="E15" s="92">
        <f>RFCW!B38*(C9*(C5/1000))</f>
        <v>0</v>
      </c>
      <c r="F15" s="92">
        <f>NYUP!B38*(C9*(C5/1000))</f>
        <v>0</v>
      </c>
      <c r="G15" s="92">
        <f>MROW!B38*(C9*(C5/1000))</f>
        <v>0</v>
      </c>
      <c r="H15" s="94">
        <f>(C9*(C5/1000))*RFCE!B38</f>
        <v>0</v>
      </c>
    </row>
    <row r="16" spans="1:9" ht="18.75">
      <c r="B16" s="97" t="s">
        <v>86</v>
      </c>
      <c r="C16" s="94">
        <f>MROE!B38*(C9*(C5/1000))</f>
        <v>0</v>
      </c>
      <c r="D16" s="92">
        <f>RFCM!B39*(C9*(C5/1000))</f>
        <v>0</v>
      </c>
      <c r="E16" s="92">
        <f>RFCW!B39*(C9*(C5/1000))</f>
        <v>0</v>
      </c>
      <c r="F16" s="92">
        <f>NYUP!B39*(C9*(C5/1000))</f>
        <v>0</v>
      </c>
      <c r="G16" s="92">
        <f>MROW!B39*(C9*(C5/1000))</f>
        <v>0</v>
      </c>
      <c r="H16" s="94">
        <f>(C9*(C5/1000))*RFCE!B39</f>
        <v>0</v>
      </c>
    </row>
    <row r="17" spans="2:8" ht="18.75">
      <c r="B17" s="97" t="s">
        <v>87</v>
      </c>
      <c r="C17" s="94">
        <f>MROE!B39*(C9*(C5/1000))</f>
        <v>0</v>
      </c>
      <c r="D17" s="92">
        <f>RFCM!B40*(C9*(C5/1000))</f>
        <v>0</v>
      </c>
      <c r="E17" s="92">
        <f>RFCW!B40*(C9*(C5/1000))</f>
        <v>0</v>
      </c>
      <c r="F17" s="92">
        <f>NYUP!B40*(C9*(C5/1000))</f>
        <v>0</v>
      </c>
      <c r="G17" s="92">
        <f>MROW!B40*(C9*(C5/1000))</f>
        <v>0</v>
      </c>
      <c r="H17" s="94">
        <f>(C9*(C5/1000))*RFCE!B40</f>
        <v>0</v>
      </c>
    </row>
    <row r="18" spans="2:8" ht="18.75">
      <c r="B18" s="97" t="s">
        <v>88</v>
      </c>
      <c r="C18" s="95">
        <f>(MROE!B40*(C9*(C5/1000000)))</f>
        <v>0</v>
      </c>
      <c r="D18" s="93">
        <f>RFCM!B41*(C9*(C5/1000000))</f>
        <v>0</v>
      </c>
      <c r="E18" s="93">
        <f>RFCW!B41*(C9*(C5/1000000))</f>
        <v>0</v>
      </c>
      <c r="F18" s="93">
        <f>NYUP!B41*(C9*(C5/1000000))</f>
        <v>0</v>
      </c>
      <c r="G18" s="93">
        <f>MROW!B41*(C9*(C5/1000000))</f>
        <v>0</v>
      </c>
      <c r="H18" s="130">
        <f>(C9*(C5/1000000))*RFCE!B41</f>
        <v>0</v>
      </c>
    </row>
    <row r="19" spans="2:8" ht="18.75">
      <c r="B19" s="97" t="s">
        <v>89</v>
      </c>
      <c r="C19" s="99">
        <f>(MROE!B41*(C9*(C5/1000000)))</f>
        <v>0</v>
      </c>
      <c r="D19" s="100">
        <f>RFCM!B42*(C9*(C5/1000000))</f>
        <v>0</v>
      </c>
      <c r="E19" s="100">
        <f>RFCW!B42*(C9*(C5/1000000))</f>
        <v>0</v>
      </c>
      <c r="F19" s="100">
        <f>NYUP!B42*(C9*(C5/1000000))</f>
        <v>0</v>
      </c>
      <c r="G19" s="100">
        <f>MROW!B42*(C9*(C5/1000000))</f>
        <v>0</v>
      </c>
      <c r="H19" s="101">
        <f>(C9*(C5/1000000))*RFCE!B42</f>
        <v>0</v>
      </c>
    </row>
    <row r="20" spans="2:8" ht="18.75">
      <c r="B20" s="97" t="s">
        <v>90</v>
      </c>
      <c r="C20" s="99">
        <f>MROE!B42*(C9*(C5/1000000))</f>
        <v>0</v>
      </c>
      <c r="D20" s="100">
        <f>RFCM!B43*(C9*(C5/1000000))</f>
        <v>0</v>
      </c>
      <c r="E20" s="100">
        <f>RFCW!B43*(C9*(C5/1000000))</f>
        <v>0</v>
      </c>
      <c r="F20" s="100">
        <f>NYUP!B43*(C9*(C5/1000000))</f>
        <v>0</v>
      </c>
      <c r="G20" s="100">
        <f>MROW!B43*(C9*(C5/1000000))</f>
        <v>0</v>
      </c>
      <c r="H20" s="101">
        <f>(C9*(C5/1000000))*RFCE!B43</f>
        <v>0</v>
      </c>
    </row>
    <row r="23" spans="2:8" ht="40.5" customHeight="1">
      <c r="B23" s="87" t="s">
        <v>101</v>
      </c>
      <c r="C23" s="323" t="s">
        <v>91</v>
      </c>
      <c r="D23" s="323"/>
      <c r="E23" s="323"/>
      <c r="F23" s="323"/>
      <c r="G23" s="323"/>
    </row>
    <row r="24" spans="2:8" ht="45">
      <c r="B24" s="88" t="s">
        <v>5</v>
      </c>
      <c r="C24" s="90" t="s">
        <v>93</v>
      </c>
      <c r="D24" s="91" t="s">
        <v>80</v>
      </c>
      <c r="E24" s="91" t="s">
        <v>81</v>
      </c>
      <c r="F24" s="91" t="s">
        <v>82</v>
      </c>
      <c r="G24" s="91" t="s">
        <v>83</v>
      </c>
      <c r="H24" s="90" t="s">
        <v>159</v>
      </c>
    </row>
    <row r="25" spans="2:8" ht="18.75">
      <c r="B25" s="97" t="s">
        <v>84</v>
      </c>
      <c r="C25" s="94">
        <f>MROE!B36*(C10*(C5/1000))</f>
        <v>0</v>
      </c>
      <c r="D25" s="92">
        <f>RFCM!B37*(C10*(C5/1000))</f>
        <v>0</v>
      </c>
      <c r="E25" s="92">
        <f>RFCW!B37*(C10*(C5/1000))</f>
        <v>0</v>
      </c>
      <c r="F25" s="92">
        <f>NYUP!B37*(C10*(C5/1000))</f>
        <v>0</v>
      </c>
      <c r="G25" s="92">
        <f>MROW!B37*(C10*(C5/1000))</f>
        <v>0</v>
      </c>
      <c r="H25" s="94">
        <f>(C10*(C6/1000))*RFCE!B37</f>
        <v>0</v>
      </c>
    </row>
    <row r="26" spans="2:8" ht="18.75">
      <c r="B26" s="97" t="s">
        <v>85</v>
      </c>
      <c r="C26" s="94">
        <f>MROE!B37*(C10*(C5/1000))</f>
        <v>0</v>
      </c>
      <c r="D26" s="92">
        <f>RFCM!B38*(C10*(C5/1000))</f>
        <v>0</v>
      </c>
      <c r="E26" s="92">
        <f>RFCW!B38*(C10*(C5/1000))</f>
        <v>0</v>
      </c>
      <c r="F26" s="92">
        <f>NYUP!B38*(C10*(C5/1000))</f>
        <v>0</v>
      </c>
      <c r="G26" s="92">
        <f>MROW!B38*(C10*(C5/1000))</f>
        <v>0</v>
      </c>
      <c r="H26" s="94">
        <f>(C10*(C6/1000))*RFCE!B38</f>
        <v>0</v>
      </c>
    </row>
    <row r="27" spans="2:8" ht="18.75">
      <c r="B27" s="97" t="s">
        <v>86</v>
      </c>
      <c r="C27" s="94">
        <f>MROE!B38*(C10*(C5/1000))</f>
        <v>0</v>
      </c>
      <c r="D27" s="92">
        <f>RFCM!B39*(C10*(C5/1000))</f>
        <v>0</v>
      </c>
      <c r="E27" s="92">
        <f>RFCW!B39*(C10*(C5/1000))</f>
        <v>0</v>
      </c>
      <c r="F27" s="92">
        <f>NYUP!B39*(C10*(C5/1000))</f>
        <v>0</v>
      </c>
      <c r="G27" s="92">
        <f>MROW!B39*(C10*(C5/1000))</f>
        <v>0</v>
      </c>
      <c r="H27" s="94">
        <f>(C10*(C6/1000))*RFCE!B39</f>
        <v>0</v>
      </c>
    </row>
    <row r="28" spans="2:8" ht="18.75">
      <c r="B28" s="97" t="s">
        <v>87</v>
      </c>
      <c r="C28" s="94">
        <f>MROE!B39*(C10*(C5/1000))</f>
        <v>0</v>
      </c>
      <c r="D28" s="92">
        <f>RFCM!B40*(C10*(C5/1000))</f>
        <v>0</v>
      </c>
      <c r="E28" s="92">
        <f>RFCW!B40*(C10*(C5/1000))</f>
        <v>0</v>
      </c>
      <c r="F28" s="92">
        <f>NYUP!B40*(C10*(C5/1000))</f>
        <v>0</v>
      </c>
      <c r="G28" s="92">
        <f>MROW!B40*(C10*(C5/1000))</f>
        <v>0</v>
      </c>
      <c r="H28" s="94">
        <f>(C10*(C6/1000))*RFCE!B40</f>
        <v>0</v>
      </c>
    </row>
    <row r="29" spans="2:8" ht="18.75">
      <c r="B29" s="97" t="s">
        <v>88</v>
      </c>
      <c r="C29" s="98">
        <f>MROE!B40*(C10*(C5/1000000))</f>
        <v>0</v>
      </c>
      <c r="D29" s="101">
        <f>RFCM!B41*(C10*(C5/1000000))</f>
        <v>0</v>
      </c>
      <c r="E29" s="101">
        <f>RFCW!B41*(C10*(C5/1000000))</f>
        <v>0</v>
      </c>
      <c r="F29" s="101">
        <f>NYUP!B41*(C10*(C5/1000000))</f>
        <v>0</v>
      </c>
      <c r="G29" s="101">
        <f>MROW!B41*(C10*(C5/1000000))</f>
        <v>0</v>
      </c>
      <c r="H29" s="130">
        <f>(C10*(C6/1000000))*RFCE!B41</f>
        <v>0</v>
      </c>
    </row>
    <row r="30" spans="2:8" ht="18.75">
      <c r="B30" s="97" t="s">
        <v>89</v>
      </c>
      <c r="C30" s="98">
        <f>MROE!B41*(C10*(C5/1000000))</f>
        <v>0</v>
      </c>
      <c r="D30" s="101">
        <f>RFCM!B42*(C10*(C5/1000000))</f>
        <v>0</v>
      </c>
      <c r="E30" s="101">
        <f>RFCW!B42*(C10*(C5/1000000))</f>
        <v>0</v>
      </c>
      <c r="F30" s="101">
        <f>NYUP!B42*(C10*(C5/1000000))</f>
        <v>0</v>
      </c>
      <c r="G30" s="101">
        <f>MROW!B42*(C10*(C5/1000000))</f>
        <v>0</v>
      </c>
      <c r="H30" s="101">
        <f>(C10*(C6/1000000))*RFCE!B42</f>
        <v>0</v>
      </c>
    </row>
    <row r="31" spans="2:8" ht="18.75">
      <c r="B31" s="97" t="s">
        <v>90</v>
      </c>
      <c r="C31" s="98">
        <f>MROE!B42*(C10*(C5/1000000))</f>
        <v>0</v>
      </c>
      <c r="D31" s="101">
        <f>RFCM!B43*(C10*(C5/1000000))</f>
        <v>0</v>
      </c>
      <c r="E31" s="101">
        <f>RFCW!B43*(C10*(C5/1000000))</f>
        <v>0</v>
      </c>
      <c r="F31" s="101">
        <f>NYUP!B43*(C10*(C5/1000000))</f>
        <v>0</v>
      </c>
      <c r="G31" s="101">
        <f>MROW!B43*(C10*(C5/1000000))</f>
        <v>0</v>
      </c>
      <c r="H31" s="101">
        <f>(C10*(C6/1000000))*RFCE!B43</f>
        <v>0</v>
      </c>
    </row>
    <row r="35" spans="2:8" ht="50.25" customHeight="1">
      <c r="B35" s="103" t="s">
        <v>99</v>
      </c>
      <c r="C35" s="324" t="s">
        <v>91</v>
      </c>
      <c r="D35" s="324"/>
      <c r="E35" s="324"/>
      <c r="F35" s="324"/>
      <c r="G35" s="325"/>
      <c r="H35" s="117"/>
    </row>
    <row r="36" spans="2:8" ht="45">
      <c r="B36" s="104" t="s">
        <v>5</v>
      </c>
      <c r="C36" s="90" t="s">
        <v>93</v>
      </c>
      <c r="D36" s="91" t="s">
        <v>80</v>
      </c>
      <c r="E36" s="91" t="s">
        <v>81</v>
      </c>
      <c r="F36" s="91" t="s">
        <v>82</v>
      </c>
      <c r="G36" s="105" t="s">
        <v>83</v>
      </c>
      <c r="H36" s="90" t="s">
        <v>159</v>
      </c>
    </row>
    <row r="37" spans="2:8" ht="18.75">
      <c r="B37" s="106" t="s">
        <v>84</v>
      </c>
      <c r="C37" s="94">
        <f t="shared" ref="C37:G43" si="0">C14+C25</f>
        <v>0</v>
      </c>
      <c r="D37" s="107">
        <f t="shared" si="0"/>
        <v>0</v>
      </c>
      <c r="E37" s="107">
        <f t="shared" si="0"/>
        <v>0</v>
      </c>
      <c r="F37" s="107">
        <f t="shared" si="0"/>
        <v>0</v>
      </c>
      <c r="G37" s="108">
        <f t="shared" si="0"/>
        <v>0</v>
      </c>
      <c r="H37" s="108">
        <f t="shared" ref="H37" si="1">H14+H25</f>
        <v>0</v>
      </c>
    </row>
    <row r="38" spans="2:8" ht="18.75">
      <c r="B38" s="106" t="s">
        <v>85</v>
      </c>
      <c r="C38" s="94">
        <f t="shared" si="0"/>
        <v>0</v>
      </c>
      <c r="D38" s="107">
        <f t="shared" si="0"/>
        <v>0</v>
      </c>
      <c r="E38" s="107">
        <f t="shared" si="0"/>
        <v>0</v>
      </c>
      <c r="F38" s="107">
        <f t="shared" si="0"/>
        <v>0</v>
      </c>
      <c r="G38" s="108">
        <f t="shared" si="0"/>
        <v>0</v>
      </c>
      <c r="H38" s="108">
        <f t="shared" ref="H38" si="2">H15+H26</f>
        <v>0</v>
      </c>
    </row>
    <row r="39" spans="2:8" ht="18.75">
      <c r="B39" s="106" t="s">
        <v>86</v>
      </c>
      <c r="C39" s="94">
        <f t="shared" si="0"/>
        <v>0</v>
      </c>
      <c r="D39" s="107">
        <f t="shared" si="0"/>
        <v>0</v>
      </c>
      <c r="E39" s="107">
        <f t="shared" si="0"/>
        <v>0</v>
      </c>
      <c r="F39" s="107">
        <f t="shared" si="0"/>
        <v>0</v>
      </c>
      <c r="G39" s="108">
        <f t="shared" si="0"/>
        <v>0</v>
      </c>
      <c r="H39" s="108">
        <f t="shared" ref="H39" si="3">H16+H27</f>
        <v>0</v>
      </c>
    </row>
    <row r="40" spans="2:8" ht="18.75">
      <c r="B40" s="106" t="s">
        <v>87</v>
      </c>
      <c r="C40" s="94">
        <f t="shared" si="0"/>
        <v>0</v>
      </c>
      <c r="D40" s="107">
        <f t="shared" si="0"/>
        <v>0</v>
      </c>
      <c r="E40" s="107">
        <f t="shared" si="0"/>
        <v>0</v>
      </c>
      <c r="F40" s="107">
        <f t="shared" si="0"/>
        <v>0</v>
      </c>
      <c r="G40" s="108">
        <f t="shared" si="0"/>
        <v>0</v>
      </c>
      <c r="H40" s="108">
        <f t="shared" ref="H40" si="4">H17+H28</f>
        <v>0</v>
      </c>
    </row>
    <row r="41" spans="2:8" ht="18.75">
      <c r="B41" s="106" t="s">
        <v>88</v>
      </c>
      <c r="C41" s="95">
        <f t="shared" si="0"/>
        <v>0</v>
      </c>
      <c r="D41" s="109">
        <f t="shared" si="0"/>
        <v>0</v>
      </c>
      <c r="E41" s="109">
        <f t="shared" si="0"/>
        <v>0</v>
      </c>
      <c r="F41" s="109">
        <f t="shared" si="0"/>
        <v>0</v>
      </c>
      <c r="G41" s="110">
        <f t="shared" si="0"/>
        <v>0</v>
      </c>
      <c r="H41" s="110">
        <f t="shared" ref="H41" si="5">H18+H29</f>
        <v>0</v>
      </c>
    </row>
    <row r="42" spans="2:8" ht="18.75">
      <c r="B42" s="106" t="s">
        <v>89</v>
      </c>
      <c r="C42" s="96">
        <f t="shared" si="0"/>
        <v>0</v>
      </c>
      <c r="D42" s="111">
        <f t="shared" si="0"/>
        <v>0</v>
      </c>
      <c r="E42" s="111">
        <f t="shared" si="0"/>
        <v>0</v>
      </c>
      <c r="F42" s="111">
        <f t="shared" si="0"/>
        <v>0</v>
      </c>
      <c r="G42" s="112">
        <f t="shared" si="0"/>
        <v>0</v>
      </c>
      <c r="H42" s="112">
        <f t="shared" ref="H42" si="6">H19+H30</f>
        <v>0</v>
      </c>
    </row>
    <row r="43" spans="2:8" ht="18.75">
      <c r="B43" s="113" t="s">
        <v>90</v>
      </c>
      <c r="C43" s="114">
        <f t="shared" si="0"/>
        <v>0</v>
      </c>
      <c r="D43" s="115">
        <f t="shared" si="0"/>
        <v>0</v>
      </c>
      <c r="E43" s="115">
        <f t="shared" si="0"/>
        <v>0</v>
      </c>
      <c r="F43" s="115">
        <f t="shared" si="0"/>
        <v>0</v>
      </c>
      <c r="G43" s="116">
        <f t="shared" si="0"/>
        <v>0</v>
      </c>
      <c r="H43" s="116">
        <f t="shared" ref="H43" si="7">H20+H31</f>
        <v>0</v>
      </c>
    </row>
    <row r="46" spans="2:8">
      <c r="B46" s="122" t="s">
        <v>107</v>
      </c>
      <c r="C46" s="124">
        <f>C37/2204.6</f>
        <v>0</v>
      </c>
      <c r="D46" s="124">
        <f>D37/2204.6</f>
        <v>0</v>
      </c>
      <c r="E46" s="124">
        <f>E37/2204.6</f>
        <v>0</v>
      </c>
      <c r="F46" s="63">
        <f>F37/2204.6</f>
        <v>0</v>
      </c>
      <c r="G46" s="63">
        <f>G37/2204.6</f>
        <v>0</v>
      </c>
    </row>
    <row r="47" spans="2:8" ht="45">
      <c r="B47" s="121" t="s">
        <v>102</v>
      </c>
      <c r="C47" s="90" t="s">
        <v>93</v>
      </c>
      <c r="D47" s="91" t="s">
        <v>80</v>
      </c>
      <c r="E47" s="91" t="s">
        <v>81</v>
      </c>
      <c r="F47" s="91" t="s">
        <v>82</v>
      </c>
      <c r="G47" s="105" t="s">
        <v>83</v>
      </c>
    </row>
    <row r="48" spans="2:8">
      <c r="B48" s="120">
        <v>0.1</v>
      </c>
      <c r="C48" s="123">
        <f>B48*C46</f>
        <v>0</v>
      </c>
      <c r="D48" s="123">
        <f>D46*B48</f>
        <v>0</v>
      </c>
      <c r="E48" s="123">
        <f>E46*B48</f>
        <v>0</v>
      </c>
      <c r="F48" s="123">
        <f>F46*B48</f>
        <v>0</v>
      </c>
      <c r="G48" s="123">
        <f>G46*B48</f>
        <v>0</v>
      </c>
    </row>
    <row r="49" spans="2:7">
      <c r="B49" s="120">
        <v>0.25</v>
      </c>
      <c r="C49" s="123">
        <f>C46*B49</f>
        <v>0</v>
      </c>
      <c r="D49" s="123">
        <f>D46*B49</f>
        <v>0</v>
      </c>
      <c r="E49" s="123">
        <f>E46*B49</f>
        <v>0</v>
      </c>
      <c r="F49" s="123">
        <f>F46*B49</f>
        <v>0</v>
      </c>
      <c r="G49" s="123">
        <f>G46*B49</f>
        <v>0</v>
      </c>
    </row>
    <row r="50" spans="2:7">
      <c r="B50" s="120">
        <v>1</v>
      </c>
      <c r="C50" s="123">
        <f>C46*B50</f>
        <v>0</v>
      </c>
      <c r="D50" s="123">
        <f>D46*B50</f>
        <v>0</v>
      </c>
      <c r="E50" s="123">
        <f>E46*B50</f>
        <v>0</v>
      </c>
      <c r="F50" s="123">
        <f>F46*B50</f>
        <v>0</v>
      </c>
      <c r="G50" s="123">
        <f>G46*B50</f>
        <v>0</v>
      </c>
    </row>
    <row r="51" spans="2:7">
      <c r="B51" s="120">
        <v>2</v>
      </c>
      <c r="C51" s="123">
        <f>C46*B51</f>
        <v>0</v>
      </c>
      <c r="D51" s="123">
        <f>D46*B51</f>
        <v>0</v>
      </c>
      <c r="E51" s="123">
        <f>E46*B51</f>
        <v>0</v>
      </c>
      <c r="F51" s="123">
        <f>F46*B51</f>
        <v>0</v>
      </c>
      <c r="G51" s="123">
        <f>G46*B51</f>
        <v>0</v>
      </c>
    </row>
    <row r="52" spans="2:7">
      <c r="B52" s="120">
        <v>5</v>
      </c>
      <c r="C52" s="123">
        <f>C46*B52</f>
        <v>0</v>
      </c>
      <c r="D52" s="123">
        <f>D46*B52</f>
        <v>0</v>
      </c>
      <c r="E52" s="123">
        <f>E46*B52</f>
        <v>0</v>
      </c>
      <c r="F52" s="123">
        <f>F46*B52</f>
        <v>0</v>
      </c>
      <c r="G52" s="123">
        <f>G46*B52</f>
        <v>0</v>
      </c>
    </row>
    <row r="53" spans="2:7">
      <c r="B53" s="120">
        <v>7.5</v>
      </c>
      <c r="C53" s="123">
        <f>C46*B53</f>
        <v>0</v>
      </c>
      <c r="D53" s="123">
        <f>D46*B53</f>
        <v>0</v>
      </c>
      <c r="E53" s="123">
        <f>E46*B53</f>
        <v>0</v>
      </c>
      <c r="F53" s="123">
        <f>F46*B53</f>
        <v>0</v>
      </c>
      <c r="G53" s="123">
        <f>G46*B53</f>
        <v>0</v>
      </c>
    </row>
    <row r="54" spans="2:7">
      <c r="B54" s="120">
        <v>10</v>
      </c>
      <c r="C54" s="123">
        <f>C46*B54</f>
        <v>0</v>
      </c>
      <c r="D54" s="123">
        <f>D46*B54</f>
        <v>0</v>
      </c>
      <c r="E54" s="123">
        <f>E46*B54</f>
        <v>0</v>
      </c>
      <c r="F54" s="123">
        <f>F46*B54</f>
        <v>0</v>
      </c>
      <c r="G54" s="123">
        <f>G46*B54</f>
        <v>0</v>
      </c>
    </row>
    <row r="55" spans="2:7">
      <c r="B55" s="120">
        <v>15</v>
      </c>
      <c r="C55" s="123">
        <f>C46*B55</f>
        <v>0</v>
      </c>
      <c r="D55" s="123">
        <f>D46*B55</f>
        <v>0</v>
      </c>
      <c r="E55" s="123">
        <f>E46*B55</f>
        <v>0</v>
      </c>
      <c r="F55" s="123">
        <f>F46*B55</f>
        <v>0</v>
      </c>
      <c r="G55" s="123">
        <f>G46*B55</f>
        <v>0</v>
      </c>
    </row>
    <row r="56" spans="2:7">
      <c r="B56" s="120">
        <v>20</v>
      </c>
      <c r="C56" s="123">
        <f>C46*B56</f>
        <v>0</v>
      </c>
      <c r="D56" s="123">
        <f>D46*B56</f>
        <v>0</v>
      </c>
      <c r="E56" s="123">
        <f>E46*B56</f>
        <v>0</v>
      </c>
      <c r="F56" s="123">
        <f>F46*B56</f>
        <v>0</v>
      </c>
      <c r="G56" s="123">
        <f>G46*B56</f>
        <v>0</v>
      </c>
    </row>
    <row r="57" spans="2:7">
      <c r="B57" s="120">
        <v>25</v>
      </c>
      <c r="C57" s="123">
        <f>C46*B57</f>
        <v>0</v>
      </c>
      <c r="D57" s="123">
        <f>D46*B57</f>
        <v>0</v>
      </c>
      <c r="E57" s="123">
        <f>E46*B57</f>
        <v>0</v>
      </c>
      <c r="F57" s="123">
        <f>F46*B57</f>
        <v>0</v>
      </c>
      <c r="G57" s="123">
        <f>G46*B57</f>
        <v>0</v>
      </c>
    </row>
    <row r="58" spans="2:7">
      <c r="B58" s="120">
        <v>30</v>
      </c>
      <c r="C58" s="123">
        <f>C46*B58</f>
        <v>0</v>
      </c>
      <c r="D58" s="123">
        <f>D46*B58</f>
        <v>0</v>
      </c>
      <c r="E58" s="123">
        <f>E46*B58</f>
        <v>0</v>
      </c>
      <c r="F58" s="123">
        <f>F46*B58</f>
        <v>0</v>
      </c>
      <c r="G58" s="123">
        <f>G46*B58</f>
        <v>0</v>
      </c>
    </row>
    <row r="59" spans="2:7">
      <c r="B59" s="120">
        <v>35</v>
      </c>
      <c r="C59" s="123">
        <f>C46*B59</f>
        <v>0</v>
      </c>
      <c r="D59" s="123">
        <f>D46*B59</f>
        <v>0</v>
      </c>
      <c r="E59" s="123">
        <f>E46*B59</f>
        <v>0</v>
      </c>
      <c r="F59" s="123">
        <f>F46*B59</f>
        <v>0</v>
      </c>
      <c r="G59" s="123">
        <f>G46*B59</f>
        <v>0</v>
      </c>
    </row>
    <row r="60" spans="2:7">
      <c r="B60" s="120">
        <v>40</v>
      </c>
      <c r="C60" s="123">
        <f>C46*B60</f>
        <v>0</v>
      </c>
      <c r="D60" s="123">
        <f>D46*B60</f>
        <v>0</v>
      </c>
      <c r="E60" s="123">
        <f>E46*B60</f>
        <v>0</v>
      </c>
      <c r="F60" s="123">
        <f>F46*B60</f>
        <v>0</v>
      </c>
      <c r="G60" s="123">
        <f>G46*B60</f>
        <v>0</v>
      </c>
    </row>
    <row r="61" spans="2:7">
      <c r="B61" s="120">
        <v>45</v>
      </c>
      <c r="C61" s="123">
        <f>C46*B61</f>
        <v>0</v>
      </c>
      <c r="D61" s="123">
        <f>D46*B61</f>
        <v>0</v>
      </c>
      <c r="E61" s="123">
        <f>E46*B61</f>
        <v>0</v>
      </c>
      <c r="F61" s="123">
        <f>F46*B61</f>
        <v>0</v>
      </c>
      <c r="G61" s="123">
        <f>G46*B61</f>
        <v>0</v>
      </c>
    </row>
    <row r="62" spans="2:7">
      <c r="B62" s="120">
        <v>50</v>
      </c>
      <c r="C62" s="123">
        <f>C46*B62</f>
        <v>0</v>
      </c>
      <c r="D62" s="123">
        <f>D46*B62</f>
        <v>0</v>
      </c>
      <c r="E62" s="123">
        <f>E46*B62</f>
        <v>0</v>
      </c>
      <c r="F62" s="123">
        <f>F46*B62</f>
        <v>0</v>
      </c>
      <c r="G62" s="123">
        <f>G46*B62</f>
        <v>0</v>
      </c>
    </row>
  </sheetData>
  <mergeCells count="4">
    <mergeCell ref="C3:E3"/>
    <mergeCell ref="C12:G12"/>
    <mergeCell ref="C23:G23"/>
    <mergeCell ref="C35:G3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Overview</vt:lpstr>
      <vt:lpstr>A-Input Water Use Data</vt:lpstr>
      <vt:lpstr>A-Input Conservation Options</vt:lpstr>
      <vt:lpstr>A-Output-WaterElectric Impact</vt:lpstr>
      <vt:lpstr>A-Output-Cons Acts Impacts</vt:lpstr>
      <vt:lpstr>Sheet1</vt:lpstr>
      <vt:lpstr>A-Summary Output</vt:lpstr>
      <vt:lpstr>Total Emissions for Systems</vt:lpstr>
      <vt:lpstr>Reduced Emis Val-Options</vt:lpstr>
      <vt:lpstr>MROE</vt:lpstr>
      <vt:lpstr>RFCM</vt:lpstr>
      <vt:lpstr>RFCW</vt:lpstr>
      <vt:lpstr>NYUP</vt:lpstr>
      <vt:lpstr>MROW</vt:lpstr>
      <vt:lpstr>RFCE</vt:lpstr>
      <vt:lpstr>Lists</vt:lpstr>
      <vt:lpstr>Water Electricity</vt:lpstr>
      <vt:lpstr>A-Output-Emissions Impacts</vt:lpstr>
      <vt:lpstr>Reduced Emis Val-Total</vt:lpstr>
      <vt:lpstr>A-Carbon Credit Value Scenarios</vt:lpstr>
      <vt:lpstr>Annual Use Worksheet</vt:lpstr>
      <vt:lpstr>C-Input-Annual Water Use</vt:lpstr>
      <vt:lpstr>C-Output-Annual Emissions</vt:lpstr>
      <vt:lpstr>eGRID1</vt:lpstr>
      <vt:lpstr>eGridRegion</vt:lpstr>
      <vt:lpstr>EGridRegions</vt:lpstr>
      <vt:lpstr>eGRIDs</vt:lpstr>
      <vt:lpstr>'Annual Use Worksheet'!MROE__Wisconsin_and_Michigan_Upper_Peninsula</vt:lpstr>
      <vt:lpstr>MROE__Wisconsin_and_Michigan_Upper_Peninsula</vt:lpstr>
      <vt:lpstr>Region</vt:lpstr>
      <vt:lpstr>Regions</vt:lpstr>
      <vt:lpstr>WaterElec</vt:lpstr>
      <vt:lpstr>WWElec</vt:lpstr>
      <vt:lpstr>Years</vt:lpstr>
      <vt:lpstr>Years1</vt:lpstr>
      <vt:lpstr>YN</vt:lpstr>
    </vt:vector>
  </TitlesOfParts>
  <Company>Environmental Consulting &amp; Technology,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Chicago</dc:creator>
  <cp:lastModifiedBy>Shannon Donley</cp:lastModifiedBy>
  <cp:lastPrinted>2011-01-18T15:24:43Z</cp:lastPrinted>
  <dcterms:created xsi:type="dcterms:W3CDTF">2010-03-09T20:40:33Z</dcterms:created>
  <dcterms:modified xsi:type="dcterms:W3CDTF">2012-02-02T17:03:12Z</dcterms:modified>
</cp:coreProperties>
</file>